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1540" windowHeight="9680" tabRatio="579" activeTab="0"/>
  </bookViews>
  <sheets>
    <sheet name="START HERE" sheetId="1" r:id="rId1"/>
    <sheet name="Drugs - Table" sheetId="2" r:id="rId2"/>
    <sheet name="Drugs - Age" sheetId="3" r:id="rId3"/>
    <sheet name="Equipment" sheetId="4" r:id="rId4"/>
    <sheet name="WETFLAG" sheetId="5" r:id="rId5"/>
    <sheet name="Notes" sheetId="6" r:id="rId6"/>
  </sheets>
  <definedNames>
    <definedName name="_xlfn.IFERROR" hidden="1">#NAME?</definedName>
    <definedName name="_xlnm.Print_Area" localSheetId="2">'Drugs - Age'!$E$2:$K$25</definedName>
    <definedName name="_xlnm.Print_Area" localSheetId="1">'Drugs - Table'!$A$1:$P$45</definedName>
    <definedName name="_xlnm.Print_Area" localSheetId="3">'Equipment'!$F$4:$K$30</definedName>
    <definedName name="_xlnm.Print_Area" localSheetId="0">'START HERE'!$A$1:$M$46</definedName>
    <definedName name="_xlnm.Print_Area" localSheetId="4">'WETFLAG'!$A$1:$G$21</definedName>
  </definedNames>
  <calcPr fullCalcOnLoad="1"/>
</workbook>
</file>

<file path=xl/sharedStrings.xml><?xml version="1.0" encoding="utf-8"?>
<sst xmlns="http://schemas.openxmlformats.org/spreadsheetml/2006/main" count="523" uniqueCount="340">
  <si>
    <t>Neuromuscular block for induction</t>
  </si>
  <si>
    <t>100mg/2ml</t>
  </si>
  <si>
    <t>1mg/kg</t>
  </si>
  <si>
    <t>Single dose</t>
  </si>
  <si>
    <t>Thiopentone</t>
  </si>
  <si>
    <t>25 mg/ml.</t>
  </si>
  <si>
    <t>Maximum of 150mg</t>
  </si>
  <si>
    <t>Can use 5mg/kg for Staus Epilepticus</t>
  </si>
  <si>
    <t>Lorazepam</t>
  </si>
  <si>
    <t>4mg/ml</t>
  </si>
  <si>
    <t>0.1mg/kg</t>
  </si>
  <si>
    <t>Password = 1234</t>
  </si>
  <si>
    <t>Paediatric Drugs Calculator</t>
  </si>
  <si>
    <t>Click below to access the sheets.  All sheets print as a single side of A4.</t>
  </si>
  <si>
    <t>Under 12 months =</t>
  </si>
  <si>
    <t>1-5 years =</t>
  </si>
  <si>
    <t>6-12 years =</t>
  </si>
  <si>
    <t>(0.5 x age) + 4</t>
  </si>
  <si>
    <t>(2 x age) + 8</t>
  </si>
  <si>
    <t>(3 x age) + 7</t>
  </si>
  <si>
    <t>Date of Birth:</t>
  </si>
  <si>
    <t>Name:</t>
  </si>
  <si>
    <t>Hospital Number:</t>
  </si>
  <si>
    <t>Actual weight (kg):</t>
  </si>
  <si>
    <t>Age:</t>
  </si>
  <si>
    <t>kg</t>
  </si>
  <si>
    <t>Weight Calculations</t>
  </si>
  <si>
    <t>Emergency Drugs</t>
  </si>
  <si>
    <t>Adrenaline</t>
  </si>
  <si>
    <t>Cardiac arrest</t>
  </si>
  <si>
    <t>1:10,000</t>
  </si>
  <si>
    <t>10microgram/kg</t>
  </si>
  <si>
    <t xml:space="preserve">IV or IO </t>
  </si>
  <si>
    <t>Repeat every 4 minutes.</t>
  </si>
  <si>
    <t>Amiodarone</t>
  </si>
  <si>
    <t>Shock resistant VF and pulseless VT</t>
  </si>
  <si>
    <t>30mg/ml</t>
  </si>
  <si>
    <t>5mg/kg</t>
  </si>
  <si>
    <t>300mg/10mls</t>
  </si>
  <si>
    <t>After the 3rd and 5th shock</t>
  </si>
  <si>
    <t>Atropine</t>
  </si>
  <si>
    <t>Vagal-induced bradycardia</t>
  </si>
  <si>
    <t>600microgram/ml</t>
  </si>
  <si>
    <t>Titrate to response</t>
  </si>
  <si>
    <t>Calcium chloride</t>
  </si>
  <si>
    <t xml:space="preserve"> PEA and electrolyte disturbance</t>
  </si>
  <si>
    <t>20mg/kg</t>
  </si>
  <si>
    <t>IV</t>
  </si>
  <si>
    <t>10mls</t>
  </si>
  <si>
    <t>Single Bolus</t>
  </si>
  <si>
    <t>Dextrose 10%</t>
  </si>
  <si>
    <t>BM &lt; 3</t>
  </si>
  <si>
    <t>100mg/ml</t>
  </si>
  <si>
    <t>Repeat if required - avoid overtreatment</t>
  </si>
  <si>
    <t>Magnesium sulphate 10%</t>
  </si>
  <si>
    <t>Life threatening asthma</t>
  </si>
  <si>
    <t xml:space="preserve">Max 2g/20ml </t>
  </si>
  <si>
    <t>Reversal of opiate overdose</t>
  </si>
  <si>
    <t>400micrograms/ml</t>
  </si>
  <si>
    <t xml:space="preserve">2mg/5ml Titrate to effect. </t>
  </si>
  <si>
    <t>Consider infusion, can use 100mcg/kg if no response max 2mg (5ml)</t>
  </si>
  <si>
    <t>Sodium Bicarbonate 8.4%</t>
  </si>
  <si>
    <t xml:space="preserve">Acidosis; only after attention to ABC </t>
  </si>
  <si>
    <t>1mmol/ml</t>
  </si>
  <si>
    <t>1mmol/kg</t>
  </si>
  <si>
    <t>50mls</t>
  </si>
  <si>
    <t>Repeat in 10 mins</t>
  </si>
  <si>
    <t>Defibrillation</t>
  </si>
  <si>
    <t>VF/pulseless VT</t>
  </si>
  <si>
    <t>Joules</t>
  </si>
  <si>
    <t>4 joules/kg</t>
  </si>
  <si>
    <t>200 joules</t>
  </si>
  <si>
    <t>Dose in Joules not mls</t>
  </si>
  <si>
    <t>Cardioversion</t>
  </si>
  <si>
    <t xml:space="preserve">Ensure Synchronized </t>
  </si>
  <si>
    <t>–</t>
  </si>
  <si>
    <t>360 joules</t>
  </si>
  <si>
    <t>Anaesthetic Drugs</t>
  </si>
  <si>
    <t>Atracurium</t>
  </si>
  <si>
    <t>Neuromuscular block in GA</t>
  </si>
  <si>
    <t>50mg/5mls</t>
  </si>
  <si>
    <t>0.5mg/kg</t>
  </si>
  <si>
    <t>0.6mg/Kg</t>
  </si>
  <si>
    <t>Etomidate</t>
  </si>
  <si>
    <t>Induction agent</t>
  </si>
  <si>
    <t>2 mg/ml</t>
  </si>
  <si>
    <t>0.3 mg/kg</t>
  </si>
  <si>
    <t>60mg/30mls</t>
  </si>
  <si>
    <t>Ketamine</t>
  </si>
  <si>
    <t>Procedural sedation</t>
  </si>
  <si>
    <t>50mg/ml</t>
  </si>
  <si>
    <t>0.5 - 1.5mg/kg</t>
  </si>
  <si>
    <t>60mg</t>
  </si>
  <si>
    <t>Induction for GA</t>
  </si>
  <si>
    <t>1-4mg/kg</t>
  </si>
  <si>
    <t>Midazolam</t>
  </si>
  <si>
    <t>Sedation</t>
  </si>
  <si>
    <t>5mg/5ml</t>
  </si>
  <si>
    <t>0.05mg/kg</t>
  </si>
  <si>
    <t>10mg titrate to effect</t>
  </si>
  <si>
    <t>10mg</t>
  </si>
  <si>
    <t>Propofol 1%</t>
  </si>
  <si>
    <t>200mg/20ml</t>
  </si>
  <si>
    <t>2mg/kg</t>
  </si>
  <si>
    <t>4mg/kg</t>
  </si>
  <si>
    <t>Suxamethonium</t>
  </si>
  <si>
    <t>Check Strength</t>
  </si>
  <si>
    <t>300mcg/kg (max 2.5mg)</t>
  </si>
  <si>
    <t>1 - 6 months</t>
  </si>
  <si>
    <t xml:space="preserve">6 months - 1 year </t>
  </si>
  <si>
    <t>1 - 5 years</t>
  </si>
  <si>
    <t>5 - 10 years</t>
  </si>
  <si>
    <t>7.5mg</t>
  </si>
  <si>
    <t>10 years and above</t>
  </si>
  <si>
    <t>10mg (maximum)</t>
  </si>
  <si>
    <t>Conc</t>
  </si>
  <si>
    <t>Dose (mls)
unless otherwise stated</t>
  </si>
  <si>
    <t>BUC</t>
  </si>
  <si>
    <t>Use buccal midazolam if no iv access (drug table age)</t>
  </si>
  <si>
    <t>Paraldehyde</t>
  </si>
  <si>
    <t>50% with Olive Oil</t>
  </si>
  <si>
    <t>0.8ml/kg</t>
  </si>
  <si>
    <t>PR</t>
  </si>
  <si>
    <t>Phenytoin</t>
  </si>
  <si>
    <t>Follows paraldehyde administration</t>
  </si>
  <si>
    <t>250mg/5ml</t>
  </si>
  <si>
    <t>Loading dose</t>
  </si>
  <si>
    <t>Analgesia</t>
  </si>
  <si>
    <t>Morphine</t>
  </si>
  <si>
    <t>Moderate to severe pain</t>
  </si>
  <si>
    <t>10mg/ml</t>
  </si>
  <si>
    <t>Titrate to effect, can repeat if necessary</t>
  </si>
  <si>
    <t>Respiratory</t>
  </si>
  <si>
    <t>Dexamethasone</t>
  </si>
  <si>
    <t>Croup</t>
  </si>
  <si>
    <t>2mg/5ml</t>
  </si>
  <si>
    <t>0.2mg/kg</t>
  </si>
  <si>
    <t>ORAL</t>
  </si>
  <si>
    <t>12mg</t>
  </si>
  <si>
    <t>Drug</t>
  </si>
  <si>
    <t>Indication</t>
  </si>
  <si>
    <t>Conc.</t>
  </si>
  <si>
    <t>Dose</t>
  </si>
  <si>
    <t>ml/kg</t>
  </si>
  <si>
    <t>Final dose (ml)</t>
  </si>
  <si>
    <t>Route</t>
  </si>
  <si>
    <t>Maximum</t>
  </si>
  <si>
    <t>Notes</t>
  </si>
  <si>
    <t>Review due:</t>
  </si>
  <si>
    <t>1mg / 10ml</t>
  </si>
  <si>
    <t>600 micrograms</t>
  </si>
  <si>
    <t>-</t>
  </si>
  <si>
    <t>200 - 500 mg/kg</t>
  </si>
  <si>
    <t>Over 2 years</t>
  </si>
  <si>
    <t>10 micrograms/kg</t>
  </si>
  <si>
    <t>Naloxone (bolus)</t>
  </si>
  <si>
    <t>Naloxone (infusion)</t>
  </si>
  <si>
    <t>5-20 micrograms / kg / hr</t>
  </si>
  <si>
    <t>Titrate to response, expressed as ml/kg/hr</t>
  </si>
  <si>
    <t>1 - 2 Joules/kg</t>
  </si>
  <si>
    <t>0.3-0.6mg/kg</t>
  </si>
  <si>
    <t>Can use up to 0.4mg/Kg for child &lt;10yrs</t>
  </si>
  <si>
    <t xml:space="preserve">Can use up to 0.4mg/Kg </t>
  </si>
  <si>
    <t>May repeat in 10 mins</t>
  </si>
  <si>
    <t>Can go up to 3 doses but should not exceed</t>
  </si>
  <si>
    <t>Ranges</t>
  </si>
  <si>
    <t>15 micrograms/kg</t>
  </si>
  <si>
    <t>20 micrograms/kg</t>
  </si>
  <si>
    <t>Atropine - Dose</t>
  </si>
  <si>
    <t>Atropine - mlkg</t>
  </si>
  <si>
    <t>Not recommended</t>
  </si>
  <si>
    <t>40mg/kg (2mmol/kg)</t>
  </si>
  <si>
    <t>Magnesium - Dose</t>
  </si>
  <si>
    <t>Magnesium - ml/kg</t>
  </si>
  <si>
    <t>under 1 month</t>
  </si>
  <si>
    <t>under 1 year</t>
  </si>
  <si>
    <t>under 2 years</t>
  </si>
  <si>
    <t>Suxemethonium - Dose</t>
  </si>
  <si>
    <t>Suxemethonium - ml/kg</t>
  </si>
  <si>
    <t>Suxemethonium - notes</t>
  </si>
  <si>
    <t>Use 2mg/kg in 1 month - 1 year old</t>
  </si>
  <si>
    <t>Use 1mg/kg if over 1 year old</t>
  </si>
  <si>
    <t>Seizures</t>
  </si>
  <si>
    <t>4mg</t>
  </si>
  <si>
    <t>20mls</t>
  </si>
  <si>
    <t>Follows benzodiazepine administration x2; given just before starting phenytoin</t>
  </si>
  <si>
    <t>Max rate of 1mg/kg/min to max of 50mg/min (see proforma)</t>
  </si>
  <si>
    <t>End of December 2015</t>
  </si>
  <si>
    <t>Max weight in C3</t>
  </si>
  <si>
    <t>WETFLAG</t>
  </si>
  <si>
    <t>Energy</t>
  </si>
  <si>
    <t>Tube</t>
  </si>
  <si>
    <t>Fluids</t>
  </si>
  <si>
    <t>Glucose</t>
  </si>
  <si>
    <t>Instructions</t>
  </si>
  <si>
    <t>Equipment</t>
  </si>
  <si>
    <t>Under 12 months = (0.5 x age) +4
1-5 years = (2 x age) + 8
6-12 years = (3 x age) +7</t>
  </si>
  <si>
    <t>x</t>
  </si>
  <si>
    <t>Select: Months or Years</t>
  </si>
  <si>
    <t>Mike Pearce / David Harris / Sam Colver / Mark Williams</t>
  </si>
  <si>
    <t>v1.4 ammended by:</t>
  </si>
  <si>
    <t>@EM3FOAMed</t>
  </si>
  <si>
    <t>4 Joules / kg</t>
  </si>
  <si>
    <t>age/2 + 15</t>
  </si>
  <si>
    <t>age/2 + 12</t>
  </si>
  <si>
    <t>age/4 + 4</t>
  </si>
  <si>
    <t>Sodium Chloride 0.9%</t>
  </si>
  <si>
    <t>Shock</t>
  </si>
  <si>
    <t>10-20ml/kg</t>
  </si>
  <si>
    <t>mls</t>
  </si>
  <si>
    <t>mg</t>
  </si>
  <si>
    <t>20ml/kg 
NaCl 0.9%</t>
  </si>
  <si>
    <t>0.1mls 
1:10,000/kg</t>
  </si>
  <si>
    <t>2-5mls 
10% Dex</t>
  </si>
  <si>
    <t>cm at the 
anterior nares</t>
  </si>
  <si>
    <t>Age</t>
  </si>
  <si>
    <t>ETT Internal diameter (mm)</t>
  </si>
  <si>
    <t>ETT length (cm)</t>
  </si>
  <si>
    <t>NG tube (Fr)</t>
  </si>
  <si>
    <t>Suction catheter (Fr)</t>
  </si>
  <si>
    <t>Chest drain (Fr)</t>
  </si>
  <si>
    <t>Term</t>
  </si>
  <si>
    <t>3 uncuffed</t>
  </si>
  <si>
    <t>10 to 12</t>
  </si>
  <si>
    <t>1 month</t>
  </si>
  <si>
    <t>3.5 uncuffed</t>
  </si>
  <si>
    <t>2 months</t>
  </si>
  <si>
    <t>4 months</t>
  </si>
  <si>
    <t>6 months</t>
  </si>
  <si>
    <t>8 months</t>
  </si>
  <si>
    <t>4.0 uncuffed</t>
  </si>
  <si>
    <t>12 to 16</t>
  </si>
  <si>
    <t>10 months</t>
  </si>
  <si>
    <t>1 year</t>
  </si>
  <si>
    <t>18 months</t>
  </si>
  <si>
    <t>4.5 uncuffed</t>
  </si>
  <si>
    <t>16 to 20</t>
  </si>
  <si>
    <t>5 uncuffed</t>
  </si>
  <si>
    <t>5.5 uncuffed</t>
  </si>
  <si>
    <t>20 to 24</t>
  </si>
  <si>
    <t>6 cuffed</t>
  </si>
  <si>
    <t>6.5 cuffed</t>
  </si>
  <si>
    <t>24 to 28</t>
  </si>
  <si>
    <t>7 cuffed</t>
  </si>
  <si>
    <t>7.5 cuffed</t>
  </si>
  <si>
    <t>12 to 14</t>
  </si>
  <si>
    <t>8 cuffed</t>
  </si>
  <si>
    <t>28 to 32</t>
  </si>
  <si>
    <t>Start</t>
  </si>
  <si>
    <t>Original version by:</t>
  </si>
  <si>
    <t>Date:</t>
  </si>
  <si>
    <t>Metric weight:</t>
  </si>
  <si>
    <t>stone</t>
  </si>
  <si>
    <t>Imperial weight:</t>
  </si>
  <si>
    <t>lbs</t>
  </si>
  <si>
    <t>months</t>
  </si>
  <si>
    <t>Low (days)</t>
  </si>
  <si>
    <t>High (days)</t>
  </si>
  <si>
    <t>|</t>
  </si>
  <si>
    <t>years</t>
  </si>
  <si>
    <t>&gt;&gt;&gt;&gt;&gt;&gt;&gt;&gt;&gt;&gt;</t>
  </si>
  <si>
    <t>days/month</t>
  </si>
  <si>
    <t>high (months)</t>
  </si>
  <si>
    <t>mm internal
diameter</t>
  </si>
  <si>
    <t>cm at the 
teeth</t>
  </si>
  <si>
    <t>Under 12 months = (0.5 x age) + 4
1-5 years = (2 x age) + 8
6-12 years = (3 x age) + 7</t>
  </si>
  <si>
    <t>Senior doctor using cuffed - take 1/2 size off</t>
  </si>
  <si>
    <t>Under 6 months</t>
  </si>
  <si>
    <t>1:1000</t>
  </si>
  <si>
    <t>IM</t>
  </si>
  <si>
    <t>Repeat once after 5 mins</t>
  </si>
  <si>
    <t>6 months - 6 years</t>
  </si>
  <si>
    <t>6-12 years</t>
  </si>
  <si>
    <t>Over 12 years</t>
  </si>
  <si>
    <t>Diazepam</t>
  </si>
  <si>
    <t>Under 1 year</t>
  </si>
  <si>
    <t>2mg/ml</t>
  </si>
  <si>
    <t>2.5mg</t>
  </si>
  <si>
    <t>Once only</t>
  </si>
  <si>
    <t>1-5 years</t>
  </si>
  <si>
    <t>5mg</t>
  </si>
  <si>
    <t>Over 5 years</t>
  </si>
  <si>
    <t>Ipratropium</t>
  </si>
  <si>
    <t>62.5 micrograms</t>
  </si>
  <si>
    <t>NEB</t>
  </si>
  <si>
    <t>As per NICE guidelines</t>
  </si>
  <si>
    <t>250 micrograms</t>
  </si>
  <si>
    <t>500 micrograms</t>
  </si>
  <si>
    <t>Salbutamol</t>
  </si>
  <si>
    <t xml:space="preserve">Not recommended </t>
  </si>
  <si>
    <t>6 months – 5 years</t>
  </si>
  <si>
    <t>Adenosine</t>
  </si>
  <si>
    <t>Birth - 12 yrs</t>
  </si>
  <si>
    <t>0.03ml/kg</t>
  </si>
  <si>
    <t>12 yrs - 18 yrs</t>
  </si>
  <si>
    <t>3mg</t>
  </si>
  <si>
    <t>1ml</t>
  </si>
  <si>
    <t>Neonate</t>
  </si>
  <si>
    <t>Follow us on Twitter:</t>
  </si>
  <si>
    <t>East Midlands, Emergency Medicine, Educational Media</t>
  </si>
  <si>
    <t>Steve Corry / Mark Williams / Damian Rolands / Gareth Lewis</t>
  </si>
  <si>
    <t>Error: Please enter either Metric or Imperial weight</t>
  </si>
  <si>
    <t>Repeat Indication</t>
  </si>
  <si>
    <r>
      <t xml:space="preserve">Adrenaline
</t>
    </r>
    <r>
      <rPr>
        <sz val="10"/>
        <rFont val="Gill Sans MT"/>
        <family val="2"/>
      </rPr>
      <t>(Anaphylaxis)</t>
    </r>
  </si>
  <si>
    <t>Buccal Midazolam</t>
  </si>
  <si>
    <t>50 microg</t>
  </si>
  <si>
    <t>150 microg</t>
  </si>
  <si>
    <t>300 microg</t>
  </si>
  <si>
    <t>500 microg</t>
  </si>
  <si>
    <t>2.5 mg</t>
  </si>
  <si>
    <t>5 mg</t>
  </si>
  <si>
    <t>10 mg</t>
  </si>
  <si>
    <t>100 microg/kg</t>
  </si>
  <si>
    <t>days</t>
  </si>
  <si>
    <t>&gt;&gt;&gt;</t>
  </si>
  <si>
    <t>Increase after 2mins if necessary to 200mcg/kg (0.06ml/kg)
and then 300mcg/Kg 
MAX dose 500mcg/kg or 12mg</t>
  </si>
  <si>
    <t>Increase after 2mins to 6mg. 
Increase after further 2 mins if necessary to 12mg</t>
  </si>
  <si>
    <t>Not routine - senior clinician decision to give - 
single dose already diluted equal volume of olive oil</t>
  </si>
  <si>
    <t>Should be used diluted. 
See 'status epilepticus in children' proforma for details of age-specific dilution</t>
  </si>
  <si>
    <t>Drugs by age</t>
  </si>
  <si>
    <t>Drugs table</t>
  </si>
  <si>
    <t>"Drugs - Table" pulls from "START HERE" all others pull from "START HERE" or "Drugs - Table"</t>
  </si>
  <si>
    <t>Change the name / DOB / Hospital number on the "START HERE" page and all other pages will change</t>
  </si>
  <si>
    <t>"Drugs - Table" F3 allows for the maximum weight, therefore use this in formula</t>
  </si>
  <si>
    <t>"Drugs - Table" C3 contains the maximum weight for patients</t>
  </si>
  <si>
    <t>"Drugs - Table" is based on weight (estimated or actual); "Drugs - Age" &amp; "Equipment" are based on Age</t>
  </si>
  <si>
    <t>Enter the name, DOB (or Age) and Hospital Number above; if know, also include the patient's weight.  
If not leave all weight fields blank, and weight will be calculated based on age.</t>
  </si>
  <si>
    <t>Error: Please enter 'Age' or Date of Birth</t>
  </si>
  <si>
    <t>Signature:</t>
  </si>
  <si>
    <t>Name/Grade:</t>
  </si>
  <si>
    <t>Confirm Age / Weight</t>
  </si>
  <si>
    <t>Age in days</t>
  </si>
  <si>
    <t>Age in years</t>
  </si>
  <si>
    <t>Weight calculation - under 12 months</t>
  </si>
  <si>
    <t>Weight calculation - 6-12</t>
  </si>
  <si>
    <t>Weight calculation - 1-5</t>
  </si>
  <si>
    <t>Interval</t>
  </si>
  <si>
    <t>Weight</t>
  </si>
  <si>
    <t>Age in months</t>
  </si>
  <si>
    <t>Several cells in rows 50-60 of "Drugs-Table" are white text for formula's; change to black / colour to see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</si>
</sst>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[$-809]dd\ mmmm\ yyyy"/>
    <numFmt numFmtId="169" formatCode="0.0"/>
    <numFmt numFmtId="170" formatCode="0.000"/>
    <numFmt numFmtId="171" formatCode="0.0000"/>
    <numFmt numFmtId="172" formatCode="0.00000"/>
    <numFmt numFmtId="173" formatCode="0.00000000"/>
    <numFmt numFmtId="174" formatCode="0.0000000"/>
    <numFmt numFmtId="175" formatCode="0.000000"/>
    <numFmt numFmtId="176" formatCode="0.0%"/>
    <numFmt numFmtId="177" formatCode="0.000000000"/>
    <numFmt numFmtId="178" formatCode="0.0000000000"/>
  </numFmts>
  <fonts count="52">
    <font>
      <sz val="11"/>
      <color indexed="8"/>
      <name val="Gill Sans MT"/>
      <family val="2"/>
    </font>
    <font>
      <sz val="10"/>
      <name val="Arial"/>
      <family val="2"/>
    </font>
    <font>
      <sz val="10"/>
      <name val="Gill Sans MT"/>
      <family val="2"/>
    </font>
    <font>
      <sz val="11"/>
      <color indexed="9"/>
      <name val="Gill Sans MT"/>
      <family val="2"/>
    </font>
    <font>
      <b/>
      <sz val="11"/>
      <color indexed="8"/>
      <name val="Gill Sans MT"/>
      <family val="2"/>
    </font>
    <font>
      <b/>
      <sz val="12"/>
      <color indexed="8"/>
      <name val="Gill Sans MT"/>
      <family val="2"/>
    </font>
    <font>
      <u val="single"/>
      <sz val="11"/>
      <color indexed="8"/>
      <name val="Gill Sans MT"/>
      <family val="2"/>
    </font>
    <font>
      <b/>
      <sz val="24"/>
      <color indexed="8"/>
      <name val="Gill Sans MT"/>
      <family val="2"/>
    </font>
    <font>
      <sz val="12"/>
      <color indexed="8"/>
      <name val="Gill Sans MT"/>
      <family val="2"/>
    </font>
    <font>
      <b/>
      <sz val="20"/>
      <color indexed="8"/>
      <name val="Gill Sans MT"/>
      <family val="2"/>
    </font>
    <font>
      <b/>
      <sz val="18"/>
      <color indexed="8"/>
      <name val="Gill Sans MT"/>
      <family val="2"/>
    </font>
    <font>
      <sz val="14"/>
      <color indexed="8"/>
      <name val="Gill Sans MT"/>
      <family val="2"/>
    </font>
    <font>
      <b/>
      <u val="single"/>
      <sz val="11"/>
      <color indexed="8"/>
      <name val="Gill Sans MT"/>
      <family val="2"/>
    </font>
    <font>
      <u val="single"/>
      <sz val="20"/>
      <name val="Gill Sans MT"/>
      <family val="2"/>
    </font>
    <font>
      <u val="single"/>
      <sz val="11"/>
      <name val="Gill Sans MT"/>
      <family val="2"/>
    </font>
    <font>
      <b/>
      <sz val="9"/>
      <color indexed="10"/>
      <name val="Arial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sz val="14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sz val="14"/>
      <color indexed="9"/>
      <name val="Gill Sans MT"/>
      <family val="2"/>
    </font>
    <font>
      <u val="single"/>
      <sz val="16"/>
      <color indexed="8"/>
      <name val="Gill Sans MT"/>
      <family val="2"/>
    </font>
    <font>
      <i/>
      <sz val="11"/>
      <color indexed="8"/>
      <name val="Gill Sans MT"/>
      <family val="2"/>
    </font>
    <font>
      <sz val="8"/>
      <name val="Gill Sans MT"/>
      <family val="2"/>
    </font>
    <font>
      <b/>
      <u val="single"/>
      <sz val="11"/>
      <name val="Gill Sans MT"/>
      <family val="2"/>
    </font>
    <font>
      <b/>
      <sz val="11"/>
      <color indexed="10"/>
      <name val="Gill Sans MT"/>
      <family val="2"/>
    </font>
    <font>
      <b/>
      <sz val="11"/>
      <color indexed="9"/>
      <name val="Gill Sans MT"/>
      <family val="2"/>
    </font>
    <font>
      <sz val="20"/>
      <color indexed="8"/>
      <name val="Gill Sans MT"/>
      <family val="2"/>
    </font>
    <font>
      <sz val="50"/>
      <color indexed="8"/>
      <name val="Gill Sans MT"/>
      <family val="2"/>
    </font>
    <font>
      <sz val="26"/>
      <color indexed="8"/>
      <name val="Gill Sans MT"/>
      <family val="2"/>
    </font>
    <font>
      <sz val="11"/>
      <color indexed="20"/>
      <name val="Gill Sans MT"/>
      <family val="2"/>
    </font>
    <font>
      <u val="single"/>
      <sz val="11"/>
      <color indexed="56"/>
      <name val="Gill Sans MT"/>
      <family val="2"/>
    </font>
    <font>
      <sz val="11"/>
      <color indexed="10"/>
      <name val="Gill Sans MT"/>
      <family val="2"/>
    </font>
    <font>
      <b/>
      <u val="single"/>
      <sz val="11"/>
      <color indexed="10"/>
      <name val="Gill Sans MT"/>
      <family val="2"/>
    </font>
    <font>
      <u val="single"/>
      <sz val="11"/>
      <color indexed="10"/>
      <name val="Gill Sans MT"/>
      <family val="2"/>
    </font>
    <font>
      <sz val="11"/>
      <color indexed="22"/>
      <name val="Gill Sans MT"/>
      <family val="2"/>
    </font>
    <font>
      <b/>
      <u val="single"/>
      <sz val="10"/>
      <color indexed="46"/>
      <name val="Gill Sans MT"/>
      <family val="2"/>
    </font>
    <font>
      <sz val="8"/>
      <color indexed="8"/>
      <name val="Gill Sans MT"/>
      <family val="2"/>
    </font>
    <font>
      <b/>
      <u val="single"/>
      <sz val="12"/>
      <color indexed="46"/>
      <name val="Gill Sans MT"/>
      <family val="2"/>
    </font>
    <font>
      <b/>
      <sz val="11"/>
      <color indexed="52"/>
      <name val="Gill Sans MT"/>
      <family val="2"/>
    </font>
    <font>
      <i/>
      <sz val="11"/>
      <color indexed="23"/>
      <name val="Gill Sans MT"/>
      <family val="2"/>
    </font>
    <font>
      <u val="single"/>
      <sz val="11"/>
      <color indexed="25"/>
      <name val="Gill Sans MT"/>
      <family val="2"/>
    </font>
    <font>
      <sz val="11"/>
      <color indexed="17"/>
      <name val="Gill Sans MT"/>
      <family val="2"/>
    </font>
    <font>
      <b/>
      <sz val="15"/>
      <color indexed="21"/>
      <name val="Gill Sans MT"/>
      <family val="2"/>
    </font>
    <font>
      <b/>
      <sz val="13"/>
      <color indexed="21"/>
      <name val="Gill Sans MT"/>
      <family val="2"/>
    </font>
    <font>
      <b/>
      <sz val="11"/>
      <color indexed="21"/>
      <name val="Gill Sans MT"/>
      <family val="2"/>
    </font>
    <font>
      <sz val="11"/>
      <color indexed="62"/>
      <name val="Gill Sans MT"/>
      <family val="2"/>
    </font>
    <font>
      <sz val="11"/>
      <color indexed="52"/>
      <name val="Gill Sans MT"/>
      <family val="2"/>
    </font>
    <font>
      <sz val="11"/>
      <color indexed="60"/>
      <name val="Gill Sans MT"/>
      <family val="2"/>
    </font>
    <font>
      <b/>
      <sz val="11"/>
      <color indexed="63"/>
      <name val="Gill Sans MT"/>
      <family val="2"/>
    </font>
    <font>
      <b/>
      <sz val="18"/>
      <color indexed="21"/>
      <name val="Gill Sans MT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ck"/>
      <top style="medium"/>
      <bottom style="hair"/>
    </border>
    <border>
      <left style="thick"/>
      <right style="thick"/>
      <top style="medium"/>
      <bottom style="hair"/>
    </border>
    <border>
      <left style="thick"/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1" fillId="18" borderId="0" applyNumberFormat="0" applyBorder="0" applyAlignment="0" applyProtection="0"/>
    <xf numFmtId="0" fontId="40" fillId="19" borderId="1" applyNumberFormat="0" applyAlignment="0" applyProtection="0"/>
    <xf numFmtId="0" fontId="2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4" borderId="1" applyNumberFormat="0" applyAlignment="0" applyProtection="0"/>
    <xf numFmtId="0" fontId="48" fillId="0" borderId="6" applyNumberFormat="0" applyFill="0" applyAlignment="0" applyProtection="0"/>
    <xf numFmtId="0" fontId="49" fillId="8" borderId="0" applyNumberFormat="0" applyBorder="0" applyAlignment="0" applyProtection="0"/>
    <xf numFmtId="0" fontId="1" fillId="0" borderId="0">
      <alignment/>
      <protection/>
    </xf>
    <xf numFmtId="0" fontId="0" fillId="5" borderId="7" applyNumberFormat="0" applyFont="0" applyAlignment="0" applyProtection="0"/>
    <xf numFmtId="0" fontId="50" fillId="19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5" fillId="21" borderId="10" xfId="0" applyFont="1" applyFill="1" applyBorder="1" applyAlignment="1">
      <alignment horizontal="center"/>
    </xf>
    <xf numFmtId="0" fontId="5" fillId="21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0" xfId="0" applyNumberFormat="1" applyAlignment="1">
      <alignment/>
    </xf>
    <xf numFmtId="0" fontId="0" fillId="0" borderId="20" xfId="0" applyBorder="1" applyAlignment="1">
      <alignment horizontal="center"/>
    </xf>
    <xf numFmtId="0" fontId="7" fillId="0" borderId="0" xfId="0" applyFont="1" applyAlignment="1">
      <alignment/>
    </xf>
    <xf numFmtId="1" fontId="0" fillId="0" borderId="13" xfId="0" applyNumberFormat="1" applyBorder="1" applyAlignment="1">
      <alignment/>
    </xf>
    <xf numFmtId="0" fontId="7" fillId="0" borderId="16" xfId="0" applyFont="1" applyBorder="1" applyAlignment="1">
      <alignment/>
    </xf>
    <xf numFmtId="1" fontId="0" fillId="0" borderId="18" xfId="0" applyNumberFormat="1" applyBorder="1" applyAlignment="1">
      <alignment/>
    </xf>
    <xf numFmtId="1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right" vertical="center"/>
    </xf>
    <xf numFmtId="1" fontId="10" fillId="0" borderId="0" xfId="0" applyNumberFormat="1" applyFont="1" applyBorder="1" applyAlignment="1">
      <alignment horizontal="right" vertical="center"/>
    </xf>
    <xf numFmtId="169" fontId="9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5" fillId="21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2" fillId="21" borderId="2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2" borderId="12" xfId="0" applyFill="1" applyBorder="1" applyAlignment="1" applyProtection="1">
      <alignment/>
      <protection/>
    </xf>
    <xf numFmtId="0" fontId="0" fillId="22" borderId="13" xfId="0" applyFill="1" applyBorder="1" applyAlignment="1" applyProtection="1">
      <alignment/>
      <protection/>
    </xf>
    <xf numFmtId="0" fontId="0" fillId="22" borderId="0" xfId="0" applyFill="1" applyBorder="1" applyAlignment="1" applyProtection="1">
      <alignment/>
      <protection/>
    </xf>
    <xf numFmtId="0" fontId="0" fillId="22" borderId="15" xfId="0" applyFill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top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1" fillId="21" borderId="28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0" fillId="22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1" fillId="21" borderId="29" xfId="0" applyFont="1" applyFill="1" applyBorder="1" applyAlignment="1" applyProtection="1">
      <alignment/>
      <protection locked="0"/>
    </xf>
    <xf numFmtId="0" fontId="11" fillId="21" borderId="29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2" fillId="0" borderId="0" xfId="57" applyFont="1">
      <alignment/>
      <protection/>
    </xf>
    <xf numFmtId="0" fontId="17" fillId="0" borderId="0" xfId="57" applyFont="1" applyFill="1" applyBorder="1">
      <alignment/>
      <protection/>
    </xf>
    <xf numFmtId="0" fontId="17" fillId="0" borderId="0" xfId="57" applyFont="1" applyFill="1" applyBorder="1" applyAlignment="1">
      <alignment horizontal="center"/>
      <protection/>
    </xf>
    <xf numFmtId="0" fontId="2" fillId="0" borderId="0" xfId="57" applyFont="1" applyBorder="1">
      <alignment/>
      <protection/>
    </xf>
    <xf numFmtId="0" fontId="0" fillId="0" borderId="0" xfId="0" applyFont="1" applyAlignment="1">
      <alignment vertical="center"/>
    </xf>
    <xf numFmtId="0" fontId="18" fillId="0" borderId="0" xfId="57" applyFont="1" applyAlignment="1">
      <alignment vertical="center"/>
      <protection/>
    </xf>
    <xf numFmtId="0" fontId="19" fillId="0" borderId="12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right"/>
      <protection/>
    </xf>
    <xf numFmtId="14" fontId="0" fillId="0" borderId="0" xfId="0" applyNumberForma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16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6" fillId="21" borderId="27" xfId="0" applyFont="1" applyFill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right"/>
      <protection/>
    </xf>
    <xf numFmtId="2" fontId="0" fillId="0" borderId="18" xfId="0" applyNumberForma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NumberForma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21" borderId="10" xfId="0" applyFont="1" applyFill="1" applyBorder="1" applyAlignment="1" applyProtection="1">
      <alignment horizontal="center"/>
      <protection/>
    </xf>
    <xf numFmtId="0" fontId="5" fillId="21" borderId="1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 vertical="top"/>
      <protection/>
    </xf>
    <xf numFmtId="0" fontId="4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9" fontId="0" fillId="0" borderId="20" xfId="0" applyNumberFormat="1" applyFont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right"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left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/>
      <protection/>
    </xf>
    <xf numFmtId="171" fontId="0" fillId="0" borderId="34" xfId="0" applyNumberFormat="1" applyFont="1" applyBorder="1" applyAlignment="1" applyProtection="1">
      <alignment horizontal="right"/>
      <protection/>
    </xf>
    <xf numFmtId="2" fontId="0" fillId="0" borderId="35" xfId="0" applyNumberFormat="1" applyFont="1" applyBorder="1" applyAlignment="1" applyProtection="1">
      <alignment horizontal="left"/>
      <protection/>
    </xf>
    <xf numFmtId="0" fontId="0" fillId="0" borderId="20" xfId="0" applyBorder="1" applyAlignment="1" applyProtection="1">
      <alignment horizontal="center"/>
      <protection/>
    </xf>
    <xf numFmtId="176" fontId="0" fillId="0" borderId="20" xfId="0" applyNumberFormat="1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right"/>
      <protection/>
    </xf>
    <xf numFmtId="0" fontId="0" fillId="0" borderId="40" xfId="0" applyFont="1" applyBorder="1" applyAlignment="1" applyProtection="1">
      <alignment horizontal="left"/>
      <protection/>
    </xf>
    <xf numFmtId="0" fontId="0" fillId="0" borderId="33" xfId="0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right"/>
      <protection/>
    </xf>
    <xf numFmtId="0" fontId="0" fillId="0" borderId="42" xfId="0" applyFont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 horizontal="right"/>
      <protection/>
    </xf>
    <xf numFmtId="0" fontId="19" fillId="0" borderId="22" xfId="0" applyFont="1" applyFill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20" xfId="57" applyFont="1" applyFill="1" applyBorder="1" applyAlignment="1">
      <alignment vertical="center"/>
      <protection/>
    </xf>
    <xf numFmtId="49" fontId="2" fillId="0" borderId="20" xfId="57" applyNumberFormat="1" applyFont="1" applyFill="1" applyBorder="1" applyAlignment="1">
      <alignment horizontal="center" vertical="center"/>
      <protection/>
    </xf>
    <xf numFmtId="0" fontId="2" fillId="0" borderId="20" xfId="57" applyFont="1" applyFill="1" applyBorder="1" applyAlignment="1">
      <alignment horizontal="center" vertical="center"/>
      <protection/>
    </xf>
    <xf numFmtId="0" fontId="2" fillId="0" borderId="23" xfId="57" applyFont="1" applyFill="1" applyBorder="1" applyAlignment="1">
      <alignment vertical="center"/>
      <protection/>
    </xf>
    <xf numFmtId="0" fontId="2" fillId="0" borderId="25" xfId="57" applyFont="1" applyFill="1" applyBorder="1" applyAlignment="1">
      <alignment vertical="center"/>
      <protection/>
    </xf>
    <xf numFmtId="0" fontId="2" fillId="0" borderId="25" xfId="57" applyFont="1" applyFill="1" applyBorder="1" applyAlignment="1">
      <alignment horizontal="center" vertical="center"/>
      <protection/>
    </xf>
    <xf numFmtId="0" fontId="2" fillId="0" borderId="26" xfId="57" applyFont="1" applyFill="1" applyBorder="1" applyAlignment="1">
      <alignment vertical="center"/>
      <protection/>
    </xf>
    <xf numFmtId="49" fontId="2" fillId="0" borderId="39" xfId="57" applyNumberFormat="1" applyFont="1" applyFill="1" applyBorder="1" applyAlignment="1">
      <alignment horizontal="center" vertical="center"/>
      <protection/>
    </xf>
    <xf numFmtId="0" fontId="2" fillId="0" borderId="39" xfId="57" applyFont="1" applyFill="1" applyBorder="1" applyAlignment="1">
      <alignment horizontal="center" vertical="center"/>
      <protection/>
    </xf>
    <xf numFmtId="0" fontId="2" fillId="0" borderId="44" xfId="57" applyFont="1" applyFill="1" applyBorder="1" applyAlignment="1">
      <alignment horizontal="center" vertical="center"/>
      <protection/>
    </xf>
    <xf numFmtId="0" fontId="2" fillId="0" borderId="33" xfId="57" applyFont="1" applyFill="1" applyBorder="1" applyAlignment="1">
      <alignment horizontal="center" vertical="center"/>
      <protection/>
    </xf>
    <xf numFmtId="0" fontId="2" fillId="0" borderId="43" xfId="57" applyFont="1" applyFill="1" applyBorder="1" applyAlignment="1">
      <alignment horizontal="center" vertical="center"/>
      <protection/>
    </xf>
    <xf numFmtId="0" fontId="17" fillId="21" borderId="45" xfId="57" applyFont="1" applyFill="1" applyBorder="1" applyAlignment="1">
      <alignment horizontal="center" vertical="center" wrapText="1"/>
      <protection/>
    </xf>
    <xf numFmtId="0" fontId="17" fillId="0" borderId="46" xfId="57" applyFont="1" applyFill="1" applyBorder="1" applyAlignment="1">
      <alignment horizontal="center" vertical="center"/>
      <protection/>
    </xf>
    <xf numFmtId="0" fontId="17" fillId="0" borderId="47" xfId="57" applyFont="1" applyFill="1" applyBorder="1" applyAlignment="1">
      <alignment horizontal="center" vertical="center"/>
      <protection/>
    </xf>
    <xf numFmtId="0" fontId="17" fillId="0" borderId="48" xfId="57" applyFont="1" applyFill="1" applyBorder="1" applyAlignment="1">
      <alignment horizontal="center" vertical="center"/>
      <protection/>
    </xf>
    <xf numFmtId="0" fontId="17" fillId="21" borderId="49" xfId="57" applyFont="1" applyFill="1" applyBorder="1" applyAlignment="1">
      <alignment horizontal="center" vertical="center"/>
      <protection/>
    </xf>
    <xf numFmtId="0" fontId="17" fillId="21" borderId="45" xfId="57" applyFont="1" applyFill="1" applyBorder="1" applyAlignment="1">
      <alignment horizontal="center" vertical="center"/>
      <protection/>
    </xf>
    <xf numFmtId="0" fontId="17" fillId="21" borderId="50" xfId="57" applyFont="1" applyFill="1" applyBorder="1" applyAlignment="1">
      <alignment horizontal="center" vertical="center"/>
      <protection/>
    </xf>
    <xf numFmtId="0" fontId="2" fillId="0" borderId="31" xfId="57" applyFont="1" applyFill="1" applyBorder="1" applyAlignment="1">
      <alignment vertical="center"/>
      <protection/>
    </xf>
    <xf numFmtId="0" fontId="2" fillId="0" borderId="31" xfId="57" applyFont="1" applyFill="1" applyBorder="1" applyAlignment="1">
      <alignment horizontal="center" vertical="center"/>
      <protection/>
    </xf>
    <xf numFmtId="0" fontId="2" fillId="0" borderId="34" xfId="57" applyFont="1" applyFill="1" applyBorder="1" applyAlignment="1">
      <alignment horizontal="center" vertical="center"/>
      <protection/>
    </xf>
    <xf numFmtId="0" fontId="17" fillId="0" borderId="51" xfId="57" applyFont="1" applyFill="1" applyBorder="1" applyAlignment="1">
      <alignment horizontal="center" vertical="center"/>
      <protection/>
    </xf>
    <xf numFmtId="0" fontId="2" fillId="0" borderId="32" xfId="57" applyFont="1" applyFill="1" applyBorder="1" applyAlignment="1">
      <alignment horizontal="center" vertical="center"/>
      <protection/>
    </xf>
    <xf numFmtId="0" fontId="2" fillId="0" borderId="52" xfId="57" applyFont="1" applyFill="1" applyBorder="1" applyAlignment="1">
      <alignment vertical="center"/>
      <protection/>
    </xf>
    <xf numFmtId="0" fontId="2" fillId="0" borderId="11" xfId="57" applyFont="1" applyFill="1" applyBorder="1" applyAlignment="1">
      <alignment vertical="center"/>
      <protection/>
    </xf>
    <xf numFmtId="49" fontId="2" fillId="0" borderId="11" xfId="57" applyNumberFormat="1" applyFont="1" applyFill="1" applyBorder="1" applyAlignment="1">
      <alignment horizontal="center" vertical="center"/>
      <protection/>
    </xf>
    <xf numFmtId="49" fontId="2" fillId="0" borderId="53" xfId="57" applyNumberFormat="1" applyFont="1" applyFill="1" applyBorder="1" applyAlignment="1">
      <alignment horizontal="center" vertical="center"/>
      <protection/>
    </xf>
    <xf numFmtId="0" fontId="2" fillId="0" borderId="54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vertical="center"/>
      <protection/>
    </xf>
    <xf numFmtId="49" fontId="2" fillId="0" borderId="25" xfId="57" applyNumberFormat="1" applyFont="1" applyFill="1" applyBorder="1" applyAlignment="1">
      <alignment horizontal="center" vertical="center"/>
      <protection/>
    </xf>
    <xf numFmtId="49" fontId="2" fillId="0" borderId="44" xfId="57" applyNumberFormat="1" applyFont="1" applyFill="1" applyBorder="1" applyAlignment="1">
      <alignment horizontal="center" vertical="center"/>
      <protection/>
    </xf>
    <xf numFmtId="0" fontId="2" fillId="0" borderId="55" xfId="57" applyFont="1" applyFill="1" applyBorder="1" applyAlignment="1">
      <alignment vertical="center"/>
      <protection/>
    </xf>
    <xf numFmtId="0" fontId="2" fillId="0" borderId="55" xfId="57" applyFont="1" applyFill="1" applyBorder="1" applyAlignment="1">
      <alignment horizontal="center" vertical="center"/>
      <protection/>
    </xf>
    <xf numFmtId="0" fontId="2" fillId="0" borderId="56" xfId="57" applyFont="1" applyFill="1" applyBorder="1" applyAlignment="1">
      <alignment horizontal="center" vertical="center"/>
      <protection/>
    </xf>
    <xf numFmtId="0" fontId="17" fillId="0" borderId="57" xfId="57" applyFont="1" applyFill="1" applyBorder="1" applyAlignment="1">
      <alignment horizontal="center" vertical="center"/>
      <protection/>
    </xf>
    <xf numFmtId="0" fontId="2" fillId="0" borderId="58" xfId="57" applyFont="1" applyFill="1" applyBorder="1" applyAlignment="1">
      <alignment horizontal="center" vertical="center"/>
      <protection/>
    </xf>
    <xf numFmtId="0" fontId="2" fillId="0" borderId="59" xfId="57" applyFont="1" applyFill="1" applyBorder="1" applyAlignment="1">
      <alignment vertical="center"/>
      <protection/>
    </xf>
    <xf numFmtId="49" fontId="2" fillId="0" borderId="31" xfId="57" applyNumberFormat="1" applyFont="1" applyFill="1" applyBorder="1" applyAlignment="1">
      <alignment horizontal="center" vertical="center"/>
      <protection/>
    </xf>
    <xf numFmtId="49" fontId="2" fillId="0" borderId="34" xfId="57" applyNumberFormat="1" applyFont="1" applyFill="1" applyBorder="1" applyAlignment="1">
      <alignment horizontal="center" vertical="center"/>
      <protection/>
    </xf>
    <xf numFmtId="49" fontId="2" fillId="0" borderId="55" xfId="57" applyNumberFormat="1" applyFont="1" applyFill="1" applyBorder="1" applyAlignment="1">
      <alignment horizontal="center" vertical="center"/>
      <protection/>
    </xf>
    <xf numFmtId="49" fontId="2" fillId="0" borderId="56" xfId="57" applyNumberFormat="1" applyFont="1" applyFill="1" applyBorder="1" applyAlignment="1">
      <alignment horizontal="center" vertical="center"/>
      <protection/>
    </xf>
    <xf numFmtId="0" fontId="2" fillId="0" borderId="11" xfId="57" applyFont="1" applyFill="1" applyBorder="1" applyAlignment="1">
      <alignment horizontal="center" vertical="center"/>
      <protection/>
    </xf>
    <xf numFmtId="0" fontId="2" fillId="0" borderId="53" xfId="57" applyFont="1" applyFill="1" applyBorder="1" applyAlignment="1">
      <alignment horizontal="center" vertical="center"/>
      <protection/>
    </xf>
    <xf numFmtId="0" fontId="2" fillId="0" borderId="21" xfId="57" applyFont="1" applyBorder="1" applyAlignment="1">
      <alignment horizontal="left" vertical="center" wrapText="1"/>
      <protection/>
    </xf>
    <xf numFmtId="0" fontId="2" fillId="0" borderId="26" xfId="57" applyFont="1" applyFill="1" applyBorder="1" applyAlignment="1">
      <alignment horizontal="left" vertical="center" wrapText="1"/>
      <protection/>
    </xf>
    <xf numFmtId="0" fontId="2" fillId="0" borderId="0" xfId="57" applyFont="1" applyAlignment="1">
      <alignment horizontal="right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14" fillId="21" borderId="60" xfId="53" applyFont="1" applyFill="1" applyBorder="1" applyAlignment="1" applyProtection="1">
      <alignment horizontal="center"/>
      <protection/>
    </xf>
    <xf numFmtId="0" fontId="25" fillId="21" borderId="27" xfId="53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20" fillId="0" borderId="0" xfId="0" applyFont="1" applyFill="1" applyBorder="1" applyAlignment="1" applyProtection="1">
      <alignment/>
      <protection/>
    </xf>
    <xf numFmtId="0" fontId="4" fillId="0" borderId="0" xfId="0" applyFont="1" applyAlignment="1">
      <alignment vertical="top"/>
    </xf>
    <xf numFmtId="0" fontId="20" fillId="0" borderId="13" xfId="0" applyFont="1" applyBorder="1" applyAlignment="1" applyProtection="1">
      <alignment horizontal="left"/>
      <protection/>
    </xf>
    <xf numFmtId="0" fontId="26" fillId="0" borderId="18" xfId="0" applyFont="1" applyBorder="1" applyAlignment="1" applyProtection="1">
      <alignment horizontal="right"/>
      <protection/>
    </xf>
    <xf numFmtId="2" fontId="26" fillId="0" borderId="18" xfId="0" applyNumberFormat="1" applyFont="1" applyBorder="1" applyAlignment="1" applyProtection="1">
      <alignment/>
      <protection/>
    </xf>
    <xf numFmtId="2" fontId="21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20" fillId="22" borderId="13" xfId="0" applyFont="1" applyFill="1" applyBorder="1" applyAlignment="1" applyProtection="1">
      <alignment/>
      <protection/>
    </xf>
    <xf numFmtId="0" fontId="20" fillId="22" borderId="14" xfId="0" applyFont="1" applyFill="1" applyBorder="1" applyAlignment="1" applyProtection="1">
      <alignment/>
      <protection/>
    </xf>
    <xf numFmtId="0" fontId="20" fillId="22" borderId="0" xfId="0" applyFont="1" applyFill="1" applyBorder="1" applyAlignment="1" applyProtection="1">
      <alignment/>
      <protection/>
    </xf>
    <xf numFmtId="0" fontId="20" fillId="0" borderId="16" xfId="0" applyFont="1" applyBorder="1" applyAlignment="1" applyProtection="1">
      <alignment/>
      <protection/>
    </xf>
    <xf numFmtId="0" fontId="18" fillId="21" borderId="28" xfId="0" applyFont="1" applyFill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19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8" fillId="0" borderId="35" xfId="0" applyFont="1" applyBorder="1" applyAlignment="1" applyProtection="1">
      <alignment/>
      <protection/>
    </xf>
    <xf numFmtId="0" fontId="28" fillId="0" borderId="16" xfId="0" applyFont="1" applyBorder="1" applyAlignment="1" applyProtection="1">
      <alignment/>
      <protection/>
    </xf>
    <xf numFmtId="0" fontId="28" fillId="0" borderId="18" xfId="0" applyFont="1" applyBorder="1" applyAlignment="1" applyProtection="1">
      <alignment/>
      <protection/>
    </xf>
    <xf numFmtId="0" fontId="28" fillId="0" borderId="19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 horizontal="right"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70" fontId="23" fillId="0" borderId="0" xfId="0" applyNumberFormat="1" applyFont="1" applyAlignment="1">
      <alignment/>
    </xf>
    <xf numFmtId="0" fontId="20" fillId="0" borderId="13" xfId="0" applyFont="1" applyBorder="1" applyAlignment="1" applyProtection="1">
      <alignment/>
      <protection/>
    </xf>
    <xf numFmtId="0" fontId="20" fillId="0" borderId="14" xfId="0" applyFont="1" applyBorder="1" applyAlignment="1" applyProtection="1">
      <alignment/>
      <protection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69" fontId="0" fillId="0" borderId="0" xfId="0" applyNumberForma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69" fontId="3" fillId="0" borderId="0" xfId="0" applyNumberFormat="1" applyFont="1" applyFill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69" fontId="4" fillId="0" borderId="0" xfId="0" applyNumberFormat="1" applyFont="1" applyAlignment="1">
      <alignment/>
    </xf>
    <xf numFmtId="2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4" fontId="18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69" fontId="3" fillId="0" borderId="0" xfId="0" applyNumberFormat="1" applyFont="1" applyAlignment="1" applyProtection="1">
      <alignment horizontal="left"/>
      <protection/>
    </xf>
    <xf numFmtId="171" fontId="3" fillId="0" borderId="0" xfId="0" applyNumberFormat="1" applyFont="1" applyAlignment="1" applyProtection="1">
      <alignment horizontal="left"/>
      <protection/>
    </xf>
    <xf numFmtId="2" fontId="3" fillId="0" borderId="0" xfId="0" applyNumberFormat="1" applyFont="1" applyFill="1" applyBorder="1" applyAlignment="1" applyProtection="1">
      <alignment horizontal="left"/>
      <protection/>
    </xf>
    <xf numFmtId="0" fontId="36" fillId="19" borderId="0" xfId="0" applyFont="1" applyFill="1" applyAlignment="1">
      <alignment wrapText="1"/>
    </xf>
    <xf numFmtId="1" fontId="4" fillId="0" borderId="29" xfId="0" applyNumberFormat="1" applyFont="1" applyBorder="1" applyAlignment="1" applyProtection="1">
      <alignment horizontal="right"/>
      <protection/>
    </xf>
    <xf numFmtId="169" fontId="4" fillId="0" borderId="61" xfId="0" applyNumberFormat="1" applyFont="1" applyBorder="1" applyAlignment="1" applyProtection="1">
      <alignment horizontal="center"/>
      <protection/>
    </xf>
    <xf numFmtId="1" fontId="4" fillId="0" borderId="28" xfId="0" applyNumberFormat="1" applyFont="1" applyBorder="1" applyAlignment="1" applyProtection="1">
      <alignment horizontal="left"/>
      <protection/>
    </xf>
    <xf numFmtId="2" fontId="4" fillId="0" borderId="17" xfId="0" applyNumberFormat="1" applyFont="1" applyBorder="1" applyAlignment="1" applyProtection="1">
      <alignment/>
      <protection/>
    </xf>
    <xf numFmtId="169" fontId="4" fillId="0" borderId="18" xfId="0" applyNumberFormat="1" applyFont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 horizontal="left"/>
      <protection/>
    </xf>
    <xf numFmtId="2" fontId="4" fillId="0" borderId="62" xfId="0" applyNumberFormat="1" applyFont="1" applyBorder="1" applyAlignment="1" applyProtection="1">
      <alignment horizontal="right"/>
      <protection/>
    </xf>
    <xf numFmtId="2" fontId="4" fillId="0" borderId="63" xfId="0" applyNumberFormat="1" applyFont="1" applyBorder="1" applyAlignment="1" applyProtection="1">
      <alignment horizontal="center"/>
      <protection/>
    </xf>
    <xf numFmtId="2" fontId="4" fillId="0" borderId="64" xfId="0" applyNumberFormat="1" applyFont="1" applyBorder="1" applyAlignment="1" applyProtection="1">
      <alignment horizontal="left"/>
      <protection/>
    </xf>
    <xf numFmtId="2" fontId="4" fillId="0" borderId="17" xfId="0" applyNumberFormat="1" applyFont="1" applyBorder="1" applyAlignment="1" applyProtection="1">
      <alignment horizontal="right"/>
      <protection/>
    </xf>
    <xf numFmtId="2" fontId="4" fillId="0" borderId="18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14" fontId="16" fillId="0" borderId="0" xfId="0" applyNumberFormat="1" applyFont="1" applyAlignment="1" applyProtection="1">
      <alignment horizontal="left"/>
      <protection/>
    </xf>
    <xf numFmtId="0" fontId="16" fillId="0" borderId="0" xfId="0" applyFont="1" applyBorder="1" applyAlignment="1" applyProtection="1">
      <alignment horizontal="right"/>
      <protection/>
    </xf>
    <xf numFmtId="49" fontId="37" fillId="0" borderId="0" xfId="53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9" fontId="39" fillId="0" borderId="0" xfId="53" applyNumberFormat="1" applyFont="1" applyBorder="1" applyAlignment="1" applyProtection="1">
      <alignment/>
      <protection/>
    </xf>
    <xf numFmtId="0" fontId="0" fillId="0" borderId="0" xfId="0" applyAlignment="1">
      <alignment/>
    </xf>
    <xf numFmtId="14" fontId="16" fillId="0" borderId="0" xfId="0" applyNumberFormat="1" applyFont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13" fillId="21" borderId="29" xfId="0" applyFont="1" applyFill="1" applyBorder="1" applyAlignment="1" applyProtection="1">
      <alignment horizontal="center"/>
      <protection/>
    </xf>
    <xf numFmtId="0" fontId="13" fillId="21" borderId="61" xfId="0" applyFont="1" applyFill="1" applyBorder="1" applyAlignment="1" applyProtection="1">
      <alignment horizontal="center"/>
      <protection/>
    </xf>
    <xf numFmtId="0" fontId="13" fillId="21" borderId="28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2" fontId="18" fillId="21" borderId="29" xfId="0" applyNumberFormat="1" applyFont="1" applyFill="1" applyBorder="1" applyAlignment="1" applyProtection="1">
      <alignment horizontal="center"/>
      <protection locked="0"/>
    </xf>
    <xf numFmtId="2" fontId="18" fillId="21" borderId="28" xfId="0" applyNumberFormat="1" applyFont="1" applyFill="1" applyBorder="1" applyAlignment="1" applyProtection="1">
      <alignment horizontal="center"/>
      <protection locked="0"/>
    </xf>
    <xf numFmtId="14" fontId="18" fillId="21" borderId="29" xfId="0" applyNumberFormat="1" applyFont="1" applyFill="1" applyBorder="1" applyAlignment="1" applyProtection="1">
      <alignment horizontal="center"/>
      <protection locked="0"/>
    </xf>
    <xf numFmtId="14" fontId="18" fillId="21" borderId="28" xfId="0" applyNumberFormat="1" applyFont="1" applyFill="1" applyBorder="1" applyAlignment="1" applyProtection="1">
      <alignment horizontal="center"/>
      <protection locked="0"/>
    </xf>
    <xf numFmtId="14" fontId="18" fillId="21" borderId="29" xfId="0" applyNumberFormat="1" applyFont="1" applyFill="1" applyBorder="1" applyAlignment="1" applyProtection="1">
      <alignment horizontal="center"/>
      <protection locked="0"/>
    </xf>
    <xf numFmtId="14" fontId="18" fillId="21" borderId="61" xfId="0" applyNumberFormat="1" applyFont="1" applyFill="1" applyBorder="1" applyAlignment="1" applyProtection="1">
      <alignment horizontal="center"/>
      <protection locked="0"/>
    </xf>
    <xf numFmtId="0" fontId="18" fillId="21" borderId="29" xfId="0" applyFont="1" applyFill="1" applyBorder="1" applyAlignment="1" applyProtection="1">
      <alignment horizontal="center"/>
      <protection locked="0"/>
    </xf>
    <xf numFmtId="0" fontId="18" fillId="21" borderId="61" xfId="0" applyFont="1" applyFill="1" applyBorder="1" applyAlignment="1" applyProtection="1">
      <alignment horizontal="center"/>
      <protection locked="0"/>
    </xf>
    <xf numFmtId="0" fontId="18" fillId="21" borderId="28" xfId="0" applyFont="1" applyFill="1" applyBorder="1" applyAlignment="1" applyProtection="1">
      <alignment horizontal="center"/>
      <protection locked="0"/>
    </xf>
    <xf numFmtId="0" fontId="11" fillId="21" borderId="29" xfId="0" applyFont="1" applyFill="1" applyBorder="1" applyAlignment="1" applyProtection="1">
      <alignment horizontal="right"/>
      <protection locked="0"/>
    </xf>
    <xf numFmtId="0" fontId="11" fillId="21" borderId="61" xfId="0" applyFont="1" applyFill="1" applyBorder="1" applyAlignment="1" applyProtection="1">
      <alignment horizontal="right"/>
      <protection locked="0"/>
    </xf>
    <xf numFmtId="0" fontId="0" fillId="0" borderId="39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/>
      <protection/>
    </xf>
    <xf numFmtId="0" fontId="19" fillId="0" borderId="14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left"/>
      <protection/>
    </xf>
    <xf numFmtId="169" fontId="4" fillId="0" borderId="65" xfId="0" applyNumberFormat="1" applyFont="1" applyBorder="1" applyAlignment="1" applyProtection="1">
      <alignment horizontal="center" vertical="center"/>
      <protection/>
    </xf>
    <xf numFmtId="169" fontId="4" fillId="0" borderId="66" xfId="0" applyNumberFormat="1" applyFont="1" applyBorder="1" applyAlignment="1" applyProtection="1">
      <alignment horizontal="center" vertical="center"/>
      <protection/>
    </xf>
    <xf numFmtId="169" fontId="4" fillId="0" borderId="67" xfId="0" applyNumberFormat="1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28" fillId="0" borderId="15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horizontal="center" vertical="center" shrinkToFit="1"/>
      <protection/>
    </xf>
    <xf numFmtId="0" fontId="0" fillId="0" borderId="40" xfId="0" applyFont="1" applyBorder="1" applyAlignment="1" applyProtection="1">
      <alignment horizontal="center"/>
      <protection/>
    </xf>
    <xf numFmtId="169" fontId="4" fillId="0" borderId="65" xfId="0" applyNumberFormat="1" applyFont="1" applyBorder="1" applyAlignment="1" applyProtection="1">
      <alignment horizontal="center"/>
      <protection/>
    </xf>
    <xf numFmtId="169" fontId="4" fillId="0" borderId="66" xfId="0" applyNumberFormat="1" applyFont="1" applyBorder="1" applyAlignment="1" applyProtection="1">
      <alignment horizontal="center"/>
      <protection/>
    </xf>
    <xf numFmtId="169" fontId="4" fillId="0" borderId="67" xfId="0" applyNumberFormat="1" applyFont="1" applyBorder="1" applyAlignment="1" applyProtection="1">
      <alignment horizont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/>
      <protection/>
    </xf>
    <xf numFmtId="0" fontId="0" fillId="0" borderId="69" xfId="0" applyFont="1" applyBorder="1" applyAlignment="1" applyProtection="1">
      <alignment horizontal="center"/>
      <protection/>
    </xf>
    <xf numFmtId="0" fontId="0" fillId="0" borderId="70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wrapText="1"/>
      <protection/>
    </xf>
    <xf numFmtId="0" fontId="0" fillId="0" borderId="52" xfId="0" applyFont="1" applyBorder="1" applyAlignment="1" applyProtection="1">
      <alignment wrapText="1"/>
      <protection/>
    </xf>
    <xf numFmtId="169" fontId="4" fillId="0" borderId="71" xfId="0" applyNumberFormat="1" applyFont="1" applyBorder="1" applyAlignment="1" applyProtection="1">
      <alignment horizontal="center"/>
      <protection/>
    </xf>
    <xf numFmtId="169" fontId="4" fillId="0" borderId="72" xfId="0" applyNumberFormat="1" applyFont="1" applyBorder="1" applyAlignment="1" applyProtection="1">
      <alignment horizontal="center"/>
      <protection/>
    </xf>
    <xf numFmtId="169" fontId="4" fillId="0" borderId="73" xfId="0" applyNumberFormat="1" applyFont="1" applyBorder="1" applyAlignment="1" applyProtection="1">
      <alignment horizont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wrapText="1"/>
      <protection/>
    </xf>
    <xf numFmtId="0" fontId="0" fillId="0" borderId="74" xfId="0" applyFont="1" applyBorder="1" applyAlignment="1" applyProtection="1">
      <alignment wrapText="1"/>
      <protection/>
    </xf>
    <xf numFmtId="0" fontId="0" fillId="0" borderId="75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wrapText="1"/>
      <protection/>
    </xf>
    <xf numFmtId="0" fontId="0" fillId="0" borderId="23" xfId="0" applyFont="1" applyBorder="1" applyAlignment="1" applyProtection="1">
      <alignment wrapText="1"/>
      <protection/>
    </xf>
    <xf numFmtId="0" fontId="5" fillId="21" borderId="15" xfId="0" applyFont="1" applyFill="1" applyBorder="1" applyAlignment="1" applyProtection="1">
      <alignment horizontal="center"/>
      <protection/>
    </xf>
    <xf numFmtId="0" fontId="5" fillId="21" borderId="0" xfId="0" applyFont="1" applyFill="1" applyBorder="1" applyAlignment="1" applyProtection="1">
      <alignment horizontal="center"/>
      <protection/>
    </xf>
    <xf numFmtId="0" fontId="5" fillId="21" borderId="16" xfId="0" applyFont="1" applyFill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wrapText="1"/>
      <protection/>
    </xf>
    <xf numFmtId="0" fontId="0" fillId="0" borderId="26" xfId="0" applyFont="1" applyBorder="1" applyAlignment="1" applyProtection="1">
      <alignment wrapText="1"/>
      <protection/>
    </xf>
    <xf numFmtId="1" fontId="4" fillId="0" borderId="65" xfId="0" applyNumberFormat="1" applyFont="1" applyBorder="1" applyAlignment="1" applyProtection="1">
      <alignment horizontal="center"/>
      <protection/>
    </xf>
    <xf numFmtId="1" fontId="4" fillId="0" borderId="66" xfId="0" applyNumberFormat="1" applyFont="1" applyBorder="1" applyAlignment="1" applyProtection="1">
      <alignment horizontal="center"/>
      <protection/>
    </xf>
    <xf numFmtId="1" fontId="4" fillId="0" borderId="67" xfId="0" applyNumberFormat="1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170" fontId="0" fillId="0" borderId="41" xfId="0" applyNumberFormat="1" applyFont="1" applyBorder="1" applyAlignment="1" applyProtection="1">
      <alignment horizontal="center"/>
      <protection/>
    </xf>
    <xf numFmtId="170" fontId="0" fillId="0" borderId="42" xfId="0" applyNumberFormat="1" applyFont="1" applyBorder="1" applyAlignment="1" applyProtection="1">
      <alignment horizontal="center"/>
      <protection/>
    </xf>
    <xf numFmtId="2" fontId="4" fillId="0" borderId="76" xfId="0" applyNumberFormat="1" applyFont="1" applyBorder="1" applyAlignment="1" applyProtection="1">
      <alignment horizontal="center"/>
      <protection/>
    </xf>
    <xf numFmtId="2" fontId="4" fillId="0" borderId="77" xfId="0" applyNumberFormat="1" applyFont="1" applyBorder="1" applyAlignment="1" applyProtection="1">
      <alignment horizontal="center"/>
      <protection/>
    </xf>
    <xf numFmtId="2" fontId="4" fillId="0" borderId="78" xfId="0" applyNumberFormat="1" applyFont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169" fontId="4" fillId="0" borderId="65" xfId="0" applyNumberFormat="1" applyFont="1" applyFill="1" applyBorder="1" applyAlignment="1" applyProtection="1">
      <alignment horizontal="center"/>
      <protection/>
    </xf>
    <xf numFmtId="169" fontId="4" fillId="0" borderId="66" xfId="0" applyNumberFormat="1" applyFont="1" applyFill="1" applyBorder="1" applyAlignment="1" applyProtection="1">
      <alignment horizontal="center"/>
      <protection/>
    </xf>
    <xf numFmtId="169" fontId="4" fillId="0" borderId="67" xfId="0" applyNumberFormat="1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69" fontId="0" fillId="0" borderId="39" xfId="0" applyNumberFormat="1" applyFont="1" applyBorder="1" applyAlignment="1" applyProtection="1">
      <alignment horizontal="center"/>
      <protection/>
    </xf>
    <xf numFmtId="169" fontId="0" fillId="0" borderId="33" xfId="0" applyNumberFormat="1" applyFont="1" applyBorder="1" applyAlignment="1" applyProtection="1">
      <alignment horizontal="center"/>
      <protection/>
    </xf>
    <xf numFmtId="0" fontId="5" fillId="21" borderId="11" xfId="0" applyFont="1" applyFill="1" applyBorder="1" applyAlignment="1" applyProtection="1">
      <alignment horizontal="center"/>
      <protection/>
    </xf>
    <xf numFmtId="0" fontId="5" fillId="21" borderId="21" xfId="0" applyFont="1" applyFill="1" applyBorder="1" applyAlignment="1" applyProtection="1">
      <alignment horizontal="center"/>
      <protection/>
    </xf>
    <xf numFmtId="170" fontId="0" fillId="0" borderId="20" xfId="0" applyNumberFormat="1" applyFont="1" applyFill="1" applyBorder="1" applyAlignment="1" applyProtection="1">
      <alignment horizontal="center"/>
      <protection/>
    </xf>
    <xf numFmtId="170" fontId="0" fillId="0" borderId="39" xfId="0" applyNumberFormat="1" applyFont="1" applyFill="1" applyBorder="1" applyAlignment="1" applyProtection="1">
      <alignment horizontal="center"/>
      <protection/>
    </xf>
    <xf numFmtId="0" fontId="5" fillId="21" borderId="22" xfId="0" applyFont="1" applyFill="1" applyBorder="1" applyAlignment="1" applyProtection="1">
      <alignment horizontal="center"/>
      <protection/>
    </xf>
    <xf numFmtId="0" fontId="5" fillId="21" borderId="20" xfId="0" applyFont="1" applyFill="1" applyBorder="1" applyAlignment="1" applyProtection="1">
      <alignment horizontal="center"/>
      <protection/>
    </xf>
    <xf numFmtId="0" fontId="5" fillId="21" borderId="55" xfId="0" applyFont="1" applyFill="1" applyBorder="1" applyAlignment="1" applyProtection="1">
      <alignment horizontal="center"/>
      <protection/>
    </xf>
    <xf numFmtId="0" fontId="5" fillId="21" borderId="23" xfId="0" applyFont="1" applyFill="1" applyBorder="1" applyAlignment="1" applyProtection="1">
      <alignment horizontal="center"/>
      <protection/>
    </xf>
    <xf numFmtId="2" fontId="4" fillId="0" borderId="65" xfId="0" applyNumberFormat="1" applyFont="1" applyFill="1" applyBorder="1" applyAlignment="1" applyProtection="1">
      <alignment horizontal="center"/>
      <protection/>
    </xf>
    <xf numFmtId="2" fontId="4" fillId="0" borderId="66" xfId="0" applyNumberFormat="1" applyFont="1" applyFill="1" applyBorder="1" applyAlignment="1" applyProtection="1">
      <alignment horizontal="center"/>
      <protection/>
    </xf>
    <xf numFmtId="2" fontId="4" fillId="0" borderId="67" xfId="0" applyNumberFormat="1" applyFont="1" applyFill="1" applyBorder="1" applyAlignment="1" applyProtection="1">
      <alignment horizontal="center"/>
      <protection/>
    </xf>
    <xf numFmtId="0" fontId="5" fillId="21" borderId="53" xfId="0" applyFont="1" applyFill="1" applyBorder="1" applyAlignment="1" applyProtection="1">
      <alignment horizontal="center"/>
      <protection/>
    </xf>
    <xf numFmtId="0" fontId="5" fillId="21" borderId="54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 horizontal="left"/>
      <protection/>
    </xf>
    <xf numFmtId="2" fontId="3" fillId="0" borderId="16" xfId="0" applyNumberFormat="1" applyFont="1" applyBorder="1" applyAlignment="1" applyProtection="1">
      <alignment horizontal="left"/>
      <protection/>
    </xf>
    <xf numFmtId="0" fontId="26" fillId="0" borderId="18" xfId="0" applyFont="1" applyBorder="1" applyAlignment="1" applyProtection="1">
      <alignment horizontal="left"/>
      <protection/>
    </xf>
    <xf numFmtId="0" fontId="26" fillId="0" borderId="19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horizontal="center"/>
      <protection/>
    </xf>
    <xf numFmtId="49" fontId="0" fillId="0" borderId="15" xfId="0" applyNumberFormat="1" applyBorder="1" applyAlignment="1" applyProtection="1">
      <alignment horizontal="right"/>
      <protection/>
    </xf>
    <xf numFmtId="49" fontId="0" fillId="0" borderId="0" xfId="0" applyNumberFormat="1" applyFont="1" applyBorder="1" applyAlignment="1" applyProtection="1">
      <alignment horizontal="right"/>
      <protection/>
    </xf>
    <xf numFmtId="49" fontId="0" fillId="0" borderId="17" xfId="0" applyNumberFormat="1" applyBorder="1" applyAlignment="1" applyProtection="1">
      <alignment horizontal="right"/>
      <protection/>
    </xf>
    <xf numFmtId="49" fontId="0" fillId="0" borderId="18" xfId="0" applyNumberFormat="1" applyFont="1" applyBorder="1" applyAlignment="1" applyProtection="1">
      <alignment horizontal="right"/>
      <protection/>
    </xf>
    <xf numFmtId="0" fontId="11" fillId="0" borderId="18" xfId="0" applyFont="1" applyBorder="1" applyAlignment="1" applyProtection="1">
      <alignment horizontal="center" wrapText="1"/>
      <protection/>
    </xf>
    <xf numFmtId="169" fontId="4" fillId="0" borderId="76" xfId="0" applyNumberFormat="1" applyFont="1" applyBorder="1" applyAlignment="1" applyProtection="1">
      <alignment horizontal="center"/>
      <protection/>
    </xf>
    <xf numFmtId="169" fontId="4" fillId="0" borderId="77" xfId="0" applyNumberFormat="1" applyFont="1" applyBorder="1" applyAlignment="1" applyProtection="1">
      <alignment horizontal="center"/>
      <protection/>
    </xf>
    <xf numFmtId="169" fontId="4" fillId="0" borderId="78" xfId="0" applyNumberFormat="1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0" fontId="2" fillId="0" borderId="45" xfId="57" applyFont="1" applyFill="1" applyBorder="1" applyAlignment="1">
      <alignment horizontal="center" vertical="center" textRotation="90"/>
      <protection/>
    </xf>
    <xf numFmtId="0" fontId="2" fillId="0" borderId="79" xfId="57" applyFont="1" applyFill="1" applyBorder="1" applyAlignment="1">
      <alignment horizontal="center" vertical="center" textRotation="90"/>
      <protection/>
    </xf>
    <xf numFmtId="0" fontId="2" fillId="0" borderId="80" xfId="57" applyFont="1" applyFill="1" applyBorder="1" applyAlignment="1">
      <alignment horizontal="center" vertical="center" textRotation="90"/>
      <protection/>
    </xf>
    <xf numFmtId="0" fontId="17" fillId="0" borderId="49" xfId="57" applyFont="1" applyFill="1" applyBorder="1" applyAlignment="1">
      <alignment horizontal="left" vertical="center" wrapText="1"/>
      <protection/>
    </xf>
    <xf numFmtId="0" fontId="17" fillId="0" borderId="81" xfId="57" applyFont="1" applyFill="1" applyBorder="1" applyAlignment="1">
      <alignment horizontal="left" vertical="center" wrapText="1"/>
      <protection/>
    </xf>
    <xf numFmtId="0" fontId="17" fillId="0" borderId="82" xfId="57" applyFont="1" applyFill="1" applyBorder="1" applyAlignment="1">
      <alignment horizontal="left" vertical="center" wrapText="1"/>
      <protection/>
    </xf>
    <xf numFmtId="0" fontId="17" fillId="0" borderId="81" xfId="57" applyFont="1" applyFill="1" applyBorder="1" applyAlignment="1">
      <alignment horizontal="left" vertical="center"/>
      <protection/>
    </xf>
    <xf numFmtId="0" fontId="17" fillId="0" borderId="49" xfId="57" applyFont="1" applyFill="1" applyBorder="1" applyAlignment="1">
      <alignment horizontal="left" vertical="center"/>
      <protection/>
    </xf>
    <xf numFmtId="0" fontId="17" fillId="0" borderId="82" xfId="57" applyFont="1" applyFill="1" applyBorder="1" applyAlignment="1">
      <alignment horizontal="left" vertical="center"/>
      <protection/>
    </xf>
    <xf numFmtId="0" fontId="4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14" fontId="38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0" fillId="0" borderId="15" xfId="0" applyNumberForma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3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7">
    <dxf>
      <font>
        <color theme="0"/>
      </font>
    </dxf>
    <dxf>
      <font>
        <color indexed="10"/>
      </font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ont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indexed="10"/>
      </font>
      <border>
        <left style="thin">
          <color indexed="10"/>
        </left>
        <right>
          <color indexed="63"/>
        </right>
        <top style="thin">
          <color indexed="10"/>
        </top>
        <bottom style="thin">
          <color indexed="10"/>
        </bottom>
      </border>
    </dxf>
    <dxf>
      <font>
        <color indexed="10"/>
      </font>
      <border>
        <left>
          <color indexed="63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9"/>
      </font>
      <fill>
        <patternFill patternType="solid">
          <fgColor indexed="9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lor indexed="9"/>
      </font>
      <fill>
        <patternFill patternType="solid">
          <fgColor indexed="9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indexed="9"/>
      </font>
    </dxf>
    <dxf>
      <font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indexed="10"/>
      </font>
    </dxf>
    <dxf>
      <font>
        <color rgb="FFDD0806"/>
      </font>
      <border>
        <left style="thin">
          <color rgb="FFDD0806"/>
        </left>
        <right style="thin">
          <color rgb="FFFF0000"/>
        </right>
        <top style="thin"/>
        <bottom style="thin">
          <color rgb="FFFF0000"/>
        </bottom>
      </border>
    </dxf>
    <dxf>
      <font>
        <b/>
        <i val="0"/>
        <color rgb="FFFFFFFF"/>
      </font>
      <fill>
        <patternFill patternType="solid">
          <fgColor rgb="FFFFFFFF"/>
          <bgColor rgb="FFDD0806"/>
        </patternFill>
      </fill>
      <border>
        <left style="thin">
          <color rgb="FFDD0806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DD0806"/>
      </font>
      <border>
        <left>
          <color rgb="FF000000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DD0806"/>
      </font>
      <border>
        <left style="thin">
          <color rgb="FFDD0806"/>
        </left>
        <right>
          <color rgb="FF000000"/>
        </right>
        <top style="thin"/>
        <bottom style="thin">
          <color rgb="FFFF0000"/>
        </bottom>
      </border>
    </dxf>
    <dxf>
      <fill>
        <patternFill>
          <bgColor rgb="FFDD0806"/>
        </patternFill>
      </fill>
      <border>
        <left style="thin">
          <color rgb="FFDD0806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twitter.com/EM3FOAMed" TargetMode="External" /><Relationship Id="rId4" Type="http://schemas.openxmlformats.org/officeDocument/2006/relationships/hyperlink" Target="http://twitter.com/EM3FOAMed" TargetMode="External" /><Relationship Id="rId5" Type="http://schemas.openxmlformats.org/officeDocument/2006/relationships/image" Target="../media/image3.png" /><Relationship Id="rId6" Type="http://schemas.openxmlformats.org/officeDocument/2006/relationships/hyperlink" Target="http://www.leicestershospitals.nhs.uk/" TargetMode="External" /><Relationship Id="rId7" Type="http://schemas.openxmlformats.org/officeDocument/2006/relationships/hyperlink" Target="http://www.leicestershospitals.nhs.uk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s://twitter.com/EM3FOAMed" TargetMode="External" /><Relationship Id="rId3" Type="http://schemas.openxmlformats.org/officeDocument/2006/relationships/hyperlink" Target="https://twitter.com/EM3FOAMed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twitter.com/EM3FOAMed" TargetMode="External" /><Relationship Id="rId3" Type="http://schemas.openxmlformats.org/officeDocument/2006/relationships/hyperlink" Target="http://twitter.com/EM3FOAMed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twitter.com/EM3FOAMed" TargetMode="External" /><Relationship Id="rId3" Type="http://schemas.openxmlformats.org/officeDocument/2006/relationships/hyperlink" Target="http://twitter.com/EM3FOAMed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twitter.com/EM3FOAMed" TargetMode="External" /><Relationship Id="rId3" Type="http://schemas.openxmlformats.org/officeDocument/2006/relationships/hyperlink" Target="http://twitter.com/EM3FOAMed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3</xdr:row>
      <xdr:rowOff>47625</xdr:rowOff>
    </xdr:from>
    <xdr:to>
      <xdr:col>4</xdr:col>
      <xdr:colOff>47625</xdr:colOff>
      <xdr:row>7</xdr:row>
      <xdr:rowOff>161925</xdr:rowOff>
    </xdr:to>
    <xdr:pic>
      <xdr:nvPicPr>
        <xdr:cNvPr id="1" name="Picture 139" descr="PED Rocket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9550"/>
          <a:ext cx="1704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40</xdr:row>
      <xdr:rowOff>104775</xdr:rowOff>
    </xdr:from>
    <xdr:to>
      <xdr:col>5</xdr:col>
      <xdr:colOff>1228725</xdr:colOff>
      <xdr:row>45</xdr:row>
      <xdr:rowOff>152400</xdr:rowOff>
    </xdr:to>
    <xdr:pic>
      <xdr:nvPicPr>
        <xdr:cNvPr id="2" name="Picture 140" descr="EM3 - Full_100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6705600"/>
          <a:ext cx="2857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3</xdr:row>
      <xdr:rowOff>19050</xdr:rowOff>
    </xdr:from>
    <xdr:to>
      <xdr:col>10</xdr:col>
      <xdr:colOff>57150</xdr:colOff>
      <xdr:row>7</xdr:row>
      <xdr:rowOff>28575</xdr:rowOff>
    </xdr:to>
    <xdr:pic>
      <xdr:nvPicPr>
        <xdr:cNvPr id="3" name="Picture 146" descr="uhl-ED">
          <a:hlinkClick r:id="rId7"/>
        </xdr:cNvPr>
        <xdr:cNvPicPr preferRelativeResize="1">
          <a:picLocks noChangeAspect="1"/>
        </xdr:cNvPicPr>
      </xdr:nvPicPr>
      <xdr:blipFill>
        <a:blip r:embed="rId5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2667000" y="180975"/>
          <a:ext cx="4010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40</xdr:row>
      <xdr:rowOff>276225</xdr:rowOff>
    </xdr:from>
    <xdr:to>
      <xdr:col>3</xdr:col>
      <xdr:colOff>1619250</xdr:colOff>
      <xdr:row>43</xdr:row>
      <xdr:rowOff>238125</xdr:rowOff>
    </xdr:to>
    <xdr:pic>
      <xdr:nvPicPr>
        <xdr:cNvPr id="1" name="Picture 239" descr="EM3 - Full_100_Twitte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8353425"/>
          <a:ext cx="2857500" cy="1162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25</xdr:row>
      <xdr:rowOff>0</xdr:rowOff>
    </xdr:from>
    <xdr:to>
      <xdr:col>5</xdr:col>
      <xdr:colOff>2095500</xdr:colOff>
      <xdr:row>29</xdr:row>
      <xdr:rowOff>76200</xdr:rowOff>
    </xdr:to>
    <xdr:pic>
      <xdr:nvPicPr>
        <xdr:cNvPr id="1" name="Picture 3" descr="EM3 - Full_10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257800"/>
          <a:ext cx="2876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30</xdr:row>
      <xdr:rowOff>28575</xdr:rowOff>
    </xdr:from>
    <xdr:to>
      <xdr:col>6</xdr:col>
      <xdr:colOff>2400300</xdr:colOff>
      <xdr:row>34</xdr:row>
      <xdr:rowOff>114300</xdr:rowOff>
    </xdr:to>
    <xdr:pic>
      <xdr:nvPicPr>
        <xdr:cNvPr id="1" name="Picture 21" descr="EM3 - Full_10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172075"/>
          <a:ext cx="2867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22</xdr:row>
      <xdr:rowOff>0</xdr:rowOff>
    </xdr:from>
    <xdr:to>
      <xdr:col>2</xdr:col>
      <xdr:colOff>1905000</xdr:colOff>
      <xdr:row>27</xdr:row>
      <xdr:rowOff>19050</xdr:rowOff>
    </xdr:to>
    <xdr:pic>
      <xdr:nvPicPr>
        <xdr:cNvPr id="1" name="Picture 1" descr="EM3 - Full_10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7086600"/>
          <a:ext cx="2867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EM">
      <a:dk1>
        <a:sysClr val="windowText" lastClr="000000"/>
      </a:dk1>
      <a:lt1>
        <a:sysClr val="window" lastClr="FFFFFF"/>
      </a:lt1>
      <a:dk2>
        <a:srgbClr val="006B54"/>
      </a:dk2>
      <a:lt2>
        <a:srgbClr val="EEECE1"/>
      </a:lt2>
      <a:accent1>
        <a:srgbClr val="0072C6"/>
      </a:accent1>
      <a:accent2>
        <a:srgbClr val="65339B"/>
      </a:accent2>
      <a:accent3>
        <a:srgbClr val="D81E05"/>
      </a:accent3>
      <a:accent4>
        <a:srgbClr val="E28C05"/>
      </a:accent4>
      <a:accent5>
        <a:srgbClr val="F7E214"/>
      </a:accent5>
      <a:accent6>
        <a:srgbClr val="5BBF21"/>
      </a:accent6>
      <a:hlink>
        <a:srgbClr val="003893"/>
      </a:hlink>
      <a:folHlink>
        <a:srgbClr val="931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witter.com/EM3FOAMed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twitter.com/EM3FOAMed" TargetMode="Externa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twitter.com/EM3FOAMed" TargetMode="Externa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twitter.com/EM3FOAMed" TargetMode="External" /><Relationship Id="rId2" Type="http://schemas.openxmlformats.org/officeDocument/2006/relationships/hyperlink" Target="https://twitter.com/EM3FOAMed" TargetMode="External" /><Relationship Id="rId3" Type="http://schemas.openxmlformats.org/officeDocument/2006/relationships/drawing" Target="../drawings/drawing5.xml" /><Relationship Id="rId4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0066"/>
    <pageSetUpPr fitToPage="1"/>
  </sheetPr>
  <dimension ref="B1:R45"/>
  <sheetViews>
    <sheetView showGridLines="0" showRowColHeaders="0" tabSelected="1" workbookViewId="0" topLeftCell="A1">
      <selection activeCell="F10" sqref="F10:J10"/>
    </sheetView>
  </sheetViews>
  <sheetFormatPr defaultColWidth="8.875" defaultRowHeight="17.25"/>
  <cols>
    <col min="1" max="1" width="1.12109375" style="41" customWidth="1"/>
    <col min="2" max="2" width="0.12890625" style="41" customWidth="1"/>
    <col min="3" max="3" width="1.12109375" style="41" customWidth="1"/>
    <col min="4" max="4" width="21.375" style="41" customWidth="1"/>
    <col min="5" max="5" width="4.375" style="41" customWidth="1"/>
    <col min="6" max="6" width="16.625" style="41" customWidth="1"/>
    <col min="7" max="7" width="11.125" style="41" customWidth="1"/>
    <col min="8" max="8" width="1.12109375" style="41" customWidth="1"/>
    <col min="9" max="9" width="19.375" style="41" customWidth="1"/>
    <col min="10" max="10" width="10.50390625" style="180" customWidth="1"/>
    <col min="11" max="11" width="1.12109375" style="180" customWidth="1"/>
    <col min="12" max="12" width="0.12890625" style="180" customWidth="1"/>
    <col min="13" max="13" width="1.00390625" style="174" customWidth="1"/>
    <col min="14" max="14" width="47.50390625" style="225" bestFit="1" customWidth="1"/>
    <col min="15" max="15" width="8.875" style="225" customWidth="1"/>
    <col min="16" max="17" width="8.875" style="188" customWidth="1"/>
    <col min="18" max="18" width="10.125" style="188" customWidth="1"/>
    <col min="19" max="20" width="8.875" style="180" customWidth="1"/>
    <col min="21" max="16384" width="8.875" style="41" customWidth="1"/>
  </cols>
  <sheetData>
    <row r="1" spans="16:18" ht="6" customHeight="1">
      <c r="P1" s="57"/>
      <c r="Q1" s="57"/>
      <c r="R1" s="57"/>
    </row>
    <row r="2" spans="2:18" ht="6" customHeight="1" thickBot="1">
      <c r="B2" s="40"/>
      <c r="L2" s="174"/>
      <c r="P2" s="57"/>
      <c r="Q2" s="57"/>
      <c r="R2" s="57"/>
    </row>
    <row r="3" spans="2:18" ht="0.75" customHeight="1">
      <c r="B3" s="42"/>
      <c r="C3" s="43"/>
      <c r="D3" s="43"/>
      <c r="E3" s="43"/>
      <c r="F3" s="43"/>
      <c r="G3" s="43"/>
      <c r="H3" s="43"/>
      <c r="I3" s="43"/>
      <c r="J3" s="181"/>
      <c r="K3" s="182"/>
      <c r="L3" s="183"/>
      <c r="P3" s="57"/>
      <c r="Q3" s="57"/>
      <c r="R3" s="57"/>
    </row>
    <row r="4" spans="2:18" ht="17.25">
      <c r="B4" s="45"/>
      <c r="K4" s="184"/>
      <c r="L4" s="183"/>
      <c r="P4" s="57"/>
      <c r="Q4" s="57"/>
      <c r="R4" s="57" t="s">
        <v>198</v>
      </c>
    </row>
    <row r="5" spans="2:18" ht="21" customHeight="1">
      <c r="B5" s="45"/>
      <c r="K5" s="184"/>
      <c r="L5" s="183"/>
      <c r="P5" s="57"/>
      <c r="Q5" s="57"/>
      <c r="R5" s="57" t="s">
        <v>255</v>
      </c>
    </row>
    <row r="6" spans="2:18" ht="21" customHeight="1">
      <c r="B6" s="45"/>
      <c r="I6" s="46"/>
      <c r="K6" s="184"/>
      <c r="L6" s="183"/>
      <c r="P6" s="57"/>
      <c r="Q6" s="57"/>
      <c r="R6" s="57" t="s">
        <v>259</v>
      </c>
    </row>
    <row r="7" spans="2:18" ht="6" customHeight="1">
      <c r="B7" s="45"/>
      <c r="K7" s="184"/>
      <c r="L7" s="183"/>
      <c r="P7" s="57"/>
      <c r="Q7" s="57"/>
      <c r="R7" s="57"/>
    </row>
    <row r="8" spans="2:18" ht="21" customHeight="1">
      <c r="B8" s="45"/>
      <c r="D8" s="264" t="s">
        <v>12</v>
      </c>
      <c r="E8" s="264"/>
      <c r="F8" s="264"/>
      <c r="G8" s="264"/>
      <c r="H8" s="264"/>
      <c r="I8" s="264"/>
      <c r="J8" s="264"/>
      <c r="K8" s="184"/>
      <c r="L8" s="183"/>
      <c r="P8" s="57"/>
      <c r="Q8" s="57"/>
      <c r="R8" s="57"/>
    </row>
    <row r="9" spans="2:18" ht="6" customHeight="1" thickBot="1">
      <c r="B9" s="45"/>
      <c r="K9" s="184"/>
      <c r="L9" s="183"/>
      <c r="P9" s="57"/>
      <c r="Q9" s="57"/>
      <c r="R9" s="57"/>
    </row>
    <row r="10" spans="2:18" ht="18" thickBot="1">
      <c r="B10" s="45"/>
      <c r="D10" s="47" t="s">
        <v>21</v>
      </c>
      <c r="E10" s="48"/>
      <c r="F10" s="275"/>
      <c r="G10" s="276"/>
      <c r="H10" s="276"/>
      <c r="I10" s="276"/>
      <c r="J10" s="277"/>
      <c r="K10" s="184"/>
      <c r="L10" s="183"/>
      <c r="P10" s="57"/>
      <c r="Q10" s="57"/>
      <c r="R10" s="57"/>
    </row>
    <row r="11" spans="2:18" ht="6" customHeight="1" thickBot="1">
      <c r="B11" s="45"/>
      <c r="D11" s="47"/>
      <c r="E11" s="48"/>
      <c r="F11" s="48"/>
      <c r="G11" s="48"/>
      <c r="H11" s="48"/>
      <c r="I11" s="48"/>
      <c r="K11" s="184"/>
      <c r="L11" s="183"/>
      <c r="P11" s="57"/>
      <c r="Q11" s="57"/>
      <c r="R11" s="57"/>
    </row>
    <row r="12" spans="2:18" ht="18" thickBot="1">
      <c r="B12" s="45"/>
      <c r="D12" s="47" t="s">
        <v>20</v>
      </c>
      <c r="E12" s="48"/>
      <c r="F12" s="273"/>
      <c r="G12" s="274"/>
      <c r="H12" s="274"/>
      <c r="I12" s="274"/>
      <c r="J12" s="272"/>
      <c r="K12" s="184"/>
      <c r="L12" s="183"/>
      <c r="N12" s="225">
        <f>IF(F12=A1,A1,("= "&amp;'Drugs - Table'!E2&amp;" "&amp;'Drugs - Table'!F2))</f>
        <v>0</v>
      </c>
      <c r="P12" s="57" t="b">
        <f>AND(NOT(F12=A1),NOT(F14=A1),NOT(I14=R4))</f>
        <v>0</v>
      </c>
      <c r="Q12" s="57"/>
      <c r="R12" s="57"/>
    </row>
    <row r="13" spans="2:18" ht="6" customHeight="1" thickBot="1">
      <c r="B13" s="45"/>
      <c r="D13" s="47"/>
      <c r="E13" s="48"/>
      <c r="F13" s="48"/>
      <c r="G13" s="48"/>
      <c r="H13" s="48"/>
      <c r="I13" s="48"/>
      <c r="K13" s="184"/>
      <c r="L13" s="183"/>
      <c r="P13" s="57"/>
      <c r="Q13" s="57"/>
      <c r="R13" s="57"/>
    </row>
    <row r="14" spans="2:17" ht="18" thickBot="1">
      <c r="B14" s="45"/>
      <c r="D14" s="47" t="s">
        <v>24</v>
      </c>
      <c r="E14" s="48"/>
      <c r="F14" s="269"/>
      <c r="G14" s="270"/>
      <c r="H14" s="226"/>
      <c r="I14" s="271" t="s">
        <v>198</v>
      </c>
      <c r="J14" s="272"/>
      <c r="K14" s="184"/>
      <c r="L14" s="183"/>
      <c r="N14" s="250" t="s">
        <v>327</v>
      </c>
      <c r="P14" s="179" t="b">
        <f>AND(NOT(F14=A1),I14=R4)</f>
        <v>0</v>
      </c>
      <c r="Q14" s="179" t="b">
        <f>AND(NOT(I14=R4),F14=A1)</f>
        <v>0</v>
      </c>
    </row>
    <row r="15" spans="2:12" ht="6" customHeight="1" thickBot="1">
      <c r="B15" s="45"/>
      <c r="D15" s="47"/>
      <c r="E15" s="48"/>
      <c r="F15" s="48"/>
      <c r="G15" s="48"/>
      <c r="H15" s="48"/>
      <c r="I15" s="48"/>
      <c r="K15" s="184"/>
      <c r="L15" s="183"/>
    </row>
    <row r="16" spans="2:17" ht="18" thickBot="1">
      <c r="B16" s="45"/>
      <c r="D16" s="47" t="s">
        <v>22</v>
      </c>
      <c r="E16" s="48"/>
      <c r="F16" s="273"/>
      <c r="G16" s="274"/>
      <c r="H16" s="274"/>
      <c r="I16" s="274"/>
      <c r="J16" s="272"/>
      <c r="K16" s="184"/>
      <c r="L16" s="183"/>
      <c r="P16" s="179">
        <f>IF(AND(F18=A1,F20=A1,I20=A1),"",IF(F18=A1,P20,F18))</f>
      </c>
      <c r="Q16" s="179"/>
    </row>
    <row r="17" spans="2:12" ht="6" customHeight="1" thickBot="1">
      <c r="B17" s="45"/>
      <c r="D17" s="47"/>
      <c r="E17" s="48"/>
      <c r="F17" s="48"/>
      <c r="G17" s="48"/>
      <c r="H17" s="48"/>
      <c r="I17" s="48"/>
      <c r="K17" s="184"/>
      <c r="L17" s="183"/>
    </row>
    <row r="18" spans="2:16" ht="18" thickBot="1">
      <c r="B18" s="45"/>
      <c r="D18" s="47" t="s">
        <v>251</v>
      </c>
      <c r="E18" s="48"/>
      <c r="F18" s="278"/>
      <c r="G18" s="279"/>
      <c r="H18" s="279"/>
      <c r="I18" s="279"/>
      <c r="J18" s="185" t="s">
        <v>25</v>
      </c>
      <c r="K18" s="184"/>
      <c r="L18" s="183"/>
      <c r="P18" s="57" t="b">
        <f>AND(NOT(F18=A1),NOT(F20=A1),NOT(I20=A1))</f>
        <v>0</v>
      </c>
    </row>
    <row r="19" spans="2:12" ht="6" customHeight="1" thickBot="1">
      <c r="B19" s="45"/>
      <c r="K19" s="184"/>
      <c r="L19" s="183"/>
    </row>
    <row r="20" spans="2:16" ht="18" thickBot="1">
      <c r="B20" s="45"/>
      <c r="D20" s="47" t="s">
        <v>253</v>
      </c>
      <c r="E20" s="48"/>
      <c r="F20" s="55"/>
      <c r="G20" s="49" t="s">
        <v>252</v>
      </c>
      <c r="H20" s="48"/>
      <c r="I20" s="56"/>
      <c r="J20" s="185" t="s">
        <v>254</v>
      </c>
      <c r="K20" s="184"/>
      <c r="L20" s="183"/>
      <c r="N20" s="250" t="s">
        <v>301</v>
      </c>
      <c r="P20" s="188">
        <f>((F20*14)+I20)/2.20462262185</f>
        <v>0</v>
      </c>
    </row>
    <row r="21" spans="2:12" ht="6" customHeight="1">
      <c r="B21" s="45"/>
      <c r="K21" s="184"/>
      <c r="L21" s="183"/>
    </row>
    <row r="22" spans="2:12" ht="13.5">
      <c r="B22" s="45"/>
      <c r="D22" s="50" t="s">
        <v>194</v>
      </c>
      <c r="G22" s="250"/>
      <c r="H22" s="250"/>
      <c r="I22" s="250"/>
      <c r="J22" s="250"/>
      <c r="K22" s="184"/>
      <c r="L22" s="183"/>
    </row>
    <row r="23" spans="2:12" ht="33.75" customHeight="1">
      <c r="B23" s="45"/>
      <c r="D23" s="268" t="s">
        <v>326</v>
      </c>
      <c r="E23" s="268"/>
      <c r="F23" s="268"/>
      <c r="G23" s="268"/>
      <c r="H23" s="268"/>
      <c r="I23" s="268"/>
      <c r="J23" s="268"/>
      <c r="K23" s="184"/>
      <c r="L23" s="183"/>
    </row>
    <row r="24" spans="2:12" ht="6" customHeight="1">
      <c r="B24" s="45"/>
      <c r="K24" s="184"/>
      <c r="L24" s="183"/>
    </row>
    <row r="25" spans="2:12" ht="13.5">
      <c r="B25" s="45"/>
      <c r="D25" s="51" t="s">
        <v>13</v>
      </c>
      <c r="K25" s="184"/>
      <c r="L25" s="183"/>
    </row>
    <row r="26" spans="2:12" ht="6" customHeight="1" thickBot="1">
      <c r="B26" s="45"/>
      <c r="K26" s="184"/>
      <c r="L26" s="183"/>
    </row>
    <row r="27" spans="2:12" ht="25.5" thickBot="1">
      <c r="B27" s="45"/>
      <c r="D27" s="265" t="s">
        <v>320</v>
      </c>
      <c r="E27" s="266"/>
      <c r="F27" s="266"/>
      <c r="G27" s="266"/>
      <c r="H27" s="266"/>
      <c r="I27" s="266"/>
      <c r="J27" s="267"/>
      <c r="K27" s="184"/>
      <c r="L27" s="183"/>
    </row>
    <row r="28" spans="2:12" ht="6" customHeight="1" thickBot="1">
      <c r="B28" s="45"/>
      <c r="D28" s="38"/>
      <c r="E28" s="38"/>
      <c r="F28" s="38"/>
      <c r="G28" s="38"/>
      <c r="H28" s="38"/>
      <c r="I28" s="38"/>
      <c r="J28" s="39"/>
      <c r="K28" s="184"/>
      <c r="L28" s="183"/>
    </row>
    <row r="29" spans="2:12" ht="25.5" thickBot="1">
      <c r="B29" s="45"/>
      <c r="D29" s="265" t="s">
        <v>319</v>
      </c>
      <c r="E29" s="266"/>
      <c r="F29" s="266"/>
      <c r="G29" s="266"/>
      <c r="H29" s="266"/>
      <c r="I29" s="266"/>
      <c r="J29" s="267"/>
      <c r="K29" s="184"/>
      <c r="L29" s="183"/>
    </row>
    <row r="30" spans="2:12" ht="6" customHeight="1" thickBot="1">
      <c r="B30" s="45"/>
      <c r="D30" s="38"/>
      <c r="E30" s="38"/>
      <c r="F30" s="38"/>
      <c r="G30" s="38"/>
      <c r="H30" s="38"/>
      <c r="I30" s="38"/>
      <c r="J30" s="39"/>
      <c r="K30" s="184"/>
      <c r="L30" s="183"/>
    </row>
    <row r="31" spans="2:12" ht="25.5" thickBot="1">
      <c r="B31" s="45"/>
      <c r="D31" s="265" t="s">
        <v>195</v>
      </c>
      <c r="E31" s="266"/>
      <c r="F31" s="266"/>
      <c r="G31" s="266"/>
      <c r="H31" s="266"/>
      <c r="I31" s="266"/>
      <c r="J31" s="267"/>
      <c r="K31" s="184"/>
      <c r="L31" s="183"/>
    </row>
    <row r="32" spans="2:12" ht="6" customHeight="1" thickBot="1">
      <c r="B32" s="45"/>
      <c r="D32" s="38"/>
      <c r="E32" s="38"/>
      <c r="F32" s="38"/>
      <c r="G32" s="38"/>
      <c r="H32" s="38"/>
      <c r="I32" s="38"/>
      <c r="J32" s="39"/>
      <c r="K32" s="184"/>
      <c r="L32" s="183"/>
    </row>
    <row r="33" spans="2:12" ht="25.5" thickBot="1">
      <c r="B33" s="45"/>
      <c r="D33" s="265" t="s">
        <v>189</v>
      </c>
      <c r="E33" s="266"/>
      <c r="F33" s="266"/>
      <c r="G33" s="266"/>
      <c r="H33" s="266"/>
      <c r="I33" s="266"/>
      <c r="J33" s="267"/>
      <c r="K33" s="184"/>
      <c r="L33" s="183"/>
    </row>
    <row r="34" spans="2:12" ht="6" customHeight="1" thickBot="1">
      <c r="B34" s="52"/>
      <c r="C34" s="53"/>
      <c r="D34" s="53"/>
      <c r="E34" s="53"/>
      <c r="F34" s="53"/>
      <c r="G34" s="53"/>
      <c r="H34" s="53"/>
      <c r="I34" s="53"/>
      <c r="J34" s="186"/>
      <c r="K34" s="187"/>
      <c r="L34" s="183"/>
    </row>
    <row r="35" spans="2:12" ht="0.75" customHeight="1">
      <c r="B35" s="44"/>
      <c r="C35" s="44"/>
      <c r="D35" s="44"/>
      <c r="E35" s="44"/>
      <c r="F35" s="44"/>
      <c r="G35" s="44"/>
      <c r="H35" s="44"/>
      <c r="I35" s="44"/>
      <c r="J35" s="183"/>
      <c r="K35" s="183"/>
      <c r="L35" s="183"/>
    </row>
    <row r="37" spans="4:10" ht="13.5">
      <c r="D37" s="252" t="s">
        <v>249</v>
      </c>
      <c r="E37" s="253" t="s">
        <v>199</v>
      </c>
      <c r="F37" s="253"/>
      <c r="G37" s="253"/>
      <c r="H37" s="253"/>
      <c r="I37" s="51"/>
      <c r="J37" s="254"/>
    </row>
    <row r="38" spans="4:10" ht="13.5">
      <c r="D38" s="252" t="s">
        <v>200</v>
      </c>
      <c r="E38" s="255" t="s">
        <v>300</v>
      </c>
      <c r="F38" s="255"/>
      <c r="G38" s="255"/>
      <c r="H38" s="255"/>
      <c r="I38" s="51"/>
      <c r="J38" s="254"/>
    </row>
    <row r="39" spans="4:10" ht="13.5">
      <c r="D39" s="252" t="s">
        <v>250</v>
      </c>
      <c r="E39" s="263">
        <v>41870</v>
      </c>
      <c r="F39" s="263"/>
      <c r="G39" s="255"/>
      <c r="H39" s="255"/>
      <c r="I39" s="51"/>
      <c r="J39" s="254"/>
    </row>
    <row r="40" spans="4:10" ht="13.5">
      <c r="D40" s="256" t="s">
        <v>148</v>
      </c>
      <c r="E40" s="51" t="s">
        <v>187</v>
      </c>
      <c r="F40" s="51"/>
      <c r="G40" s="51"/>
      <c r="H40" s="51"/>
      <c r="I40" s="51"/>
      <c r="J40" s="254"/>
    </row>
    <row r="41" ht="15" customHeight="1"/>
    <row r="42" spans="4:10" ht="17.25">
      <c r="D42" s="50"/>
      <c r="G42" s="251" t="s">
        <v>299</v>
      </c>
      <c r="H42" s="251"/>
      <c r="I42" s="251"/>
      <c r="J42" s="251"/>
    </row>
    <row r="43" ht="3.75" customHeight="1">
      <c r="D43" s="190"/>
    </row>
    <row r="44" spans="4:9" ht="17.25">
      <c r="D44" s="74"/>
      <c r="G44" s="51" t="s">
        <v>298</v>
      </c>
      <c r="H44" s="51"/>
      <c r="I44" s="51"/>
    </row>
    <row r="45" spans="7:9" ht="17.25">
      <c r="G45" s="257" t="s">
        <v>201</v>
      </c>
      <c r="H45" s="51"/>
      <c r="I45" s="51"/>
    </row>
  </sheetData>
  <sheetProtection password="CC3D" sheet="1" objects="1" scenarios="1"/>
  <mergeCells count="13">
    <mergeCell ref="F10:J10"/>
    <mergeCell ref="F12:J12"/>
    <mergeCell ref="F18:I18"/>
    <mergeCell ref="E39:F39"/>
    <mergeCell ref="D8:J8"/>
    <mergeCell ref="D27:J27"/>
    <mergeCell ref="D31:J31"/>
    <mergeCell ref="D33:J33"/>
    <mergeCell ref="D23:J23"/>
    <mergeCell ref="F14:G14"/>
    <mergeCell ref="I14:J14"/>
    <mergeCell ref="F16:J16"/>
    <mergeCell ref="D29:J29"/>
  </mergeCells>
  <conditionalFormatting sqref="D14 D12">
    <cfRule type="expression" priority="1" dxfId="1" stopIfTrue="1">
      <formula>($P$12=TRUE)</formula>
    </cfRule>
  </conditionalFormatting>
  <conditionalFormatting sqref="F12:J12">
    <cfRule type="expression" priority="3" dxfId="52" stopIfTrue="1">
      <formula>($P$12=TRUE)</formula>
    </cfRule>
  </conditionalFormatting>
  <conditionalFormatting sqref="N12">
    <cfRule type="cellIs" priority="4" dxfId="49" operator="equal" stopIfTrue="1">
      <formula>0</formula>
    </cfRule>
  </conditionalFormatting>
  <conditionalFormatting sqref="N14">
    <cfRule type="expression" priority="5" dxfId="53" stopIfTrue="1">
      <formula>($P$12=TRUE)</formula>
    </cfRule>
  </conditionalFormatting>
  <conditionalFormatting sqref="L12:M14 K12 K14 F13:K13 H14">
    <cfRule type="expression" priority="6" dxfId="47" stopIfTrue="1">
      <formula>($P$12=TRUE)</formula>
    </cfRule>
  </conditionalFormatting>
  <conditionalFormatting sqref="N20">
    <cfRule type="expression" priority="7" dxfId="53" stopIfTrue="1">
      <formula>($P$18=TRUE)</formula>
    </cfRule>
  </conditionalFormatting>
  <conditionalFormatting sqref="J18 J20 G20">
    <cfRule type="expression" priority="8" dxfId="54" stopIfTrue="1">
      <formula>($P$18=TRUE)</formula>
    </cfRule>
  </conditionalFormatting>
  <conditionalFormatting sqref="F18:I18 I20 F20">
    <cfRule type="expression" priority="9" dxfId="55" stopIfTrue="1">
      <formula>($P$18=TRUE)</formula>
    </cfRule>
  </conditionalFormatting>
  <conditionalFormatting sqref="K18:M20 F19:J19 H20">
    <cfRule type="expression" priority="10" dxfId="56" stopIfTrue="1">
      <formula>($P$18=TRUE)</formula>
    </cfRule>
  </conditionalFormatting>
  <conditionalFormatting sqref="I14:J14">
    <cfRule type="expression" priority="11" dxfId="52" stopIfTrue="1">
      <formula>($P$12=TRUE)</formula>
    </cfRule>
    <cfRule type="expression" priority="12" dxfId="52" stopIfTrue="1">
      <formula>$P$14=TRUE</formula>
    </cfRule>
  </conditionalFormatting>
  <conditionalFormatting sqref="F14:G14">
    <cfRule type="expression" priority="13" dxfId="52" stopIfTrue="1">
      <formula>($P$12=TRUE)</formula>
    </cfRule>
    <cfRule type="expression" priority="14" dxfId="52" stopIfTrue="1">
      <formula>$Q$14=TRUE</formula>
    </cfRule>
  </conditionalFormatting>
  <dataValidations count="6">
    <dataValidation operator="greaterThan" allowBlank="1" promptTitle="Actual weight (kg)" prompt="Enter the patients weight if known" sqref="P16:Q16 P14:Q14"/>
    <dataValidation errorStyle="warning" type="date" operator="lessThan" allowBlank="1" showInputMessage="1" showErrorMessage="1" promptTitle="Date of Birth" prompt="Use DD/MM/YYYY" errorTitle="Date of Birth" error="You cannot enter a future date." sqref="F12">
      <formula1>NOW()+1</formula1>
    </dataValidation>
    <dataValidation allowBlank="1" showInputMessage="1" showErrorMessage="1" promptTitle="Actual weight" prompt="Enter the patients weight in imperial." sqref="J20"/>
    <dataValidation allowBlank="1" showInputMessage="1" showErrorMessage="1" promptTitle="Actual weight" prompt="Enter the patients weight in kg (if known) or their weight in lb's" sqref="J18"/>
    <dataValidation allowBlank="1" showInputMessage="1" showErrorMessage="1" promptTitle="Actual weight" prompt="Enter either the Metric or Imperial weight if known.&#10;If this is not known, leave blank and weight will be calculated based on the patients age." sqref="F18:I18 F20 I20"/>
    <dataValidation type="list" allowBlank="1" showInputMessage="1" showErrorMessage="1" promptTitle="Age" prompt="Select months or years." sqref="I14:J14">
      <formula1>$R$4:$R$6</formula1>
    </dataValidation>
  </dataValidations>
  <hyperlinks>
    <hyperlink ref="D27" location="Drugs!A1" display="Drugs"/>
    <hyperlink ref="D33" location="WETFLAG!A1" display="WETFLAG"/>
    <hyperlink ref="D27:J27" location="'Drugs - Table'!A1" display="Drugs table"/>
    <hyperlink ref="D31" location="Equipment!A1" display="Equipment"/>
    <hyperlink ref="D29" location="Equipment!A1" display="Equipment"/>
    <hyperlink ref="D29:J29" location="'Drugs - Age'!A1" display="Drugs by age"/>
    <hyperlink ref="D31:J31" location="Equipment!A1" display="Equipment"/>
    <hyperlink ref="D33:J33" location="WETFLAG!A2" display="WETFLAG"/>
    <hyperlink ref="G45" r:id="rId1" display=" @EM3FOAMed"/>
  </hyperlinks>
  <printOptions/>
  <pageMargins left="0.7" right="0.7" top="0.75" bottom="0.75" header="0.3" footer="0.3"/>
  <pageSetup fitToHeight="1" fitToWidth="1" horizontalDpi="600" verticalDpi="600" orientation="portrait" paperSize="9" scale="98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showGridLines="0" showRowColHeaders="0" zoomScale="70" zoomScaleNormal="70" workbookViewId="0" topLeftCell="A1">
      <pane ySplit="7" topLeftCell="BM8" activePane="bottomLeft" state="frozen"/>
      <selection pane="topLeft" activeCell="A1" sqref="A1"/>
      <selection pane="bottomLeft" activeCell="O3" sqref="O3"/>
    </sheetView>
  </sheetViews>
  <sheetFormatPr defaultColWidth="8.875" defaultRowHeight="17.25"/>
  <cols>
    <col min="1" max="1" width="28.875" style="80" customWidth="1"/>
    <col min="2" max="2" width="46.50390625" style="73" customWidth="1"/>
    <col min="3" max="3" width="16.625" style="73" customWidth="1"/>
    <col min="4" max="4" width="22.625" style="73" customWidth="1"/>
    <col min="5" max="5" width="9.375" style="73" customWidth="1"/>
    <col min="6" max="6" width="2.50390625" style="73" customWidth="1"/>
    <col min="7" max="7" width="7.625" style="73" customWidth="1"/>
    <col min="8" max="8" width="8.50390625" style="73" customWidth="1"/>
    <col min="9" max="9" width="2.50390625" style="73" customWidth="1"/>
    <col min="10" max="10" width="8.50390625" style="73" customWidth="1"/>
    <col min="11" max="11" width="9.375" style="73" customWidth="1"/>
    <col min="12" max="12" width="20.875" style="73" customWidth="1"/>
    <col min="13" max="13" width="2.875" style="73" customWidth="1"/>
    <col min="14" max="14" width="23.00390625" style="122" customWidth="1"/>
    <col min="15" max="15" width="28.625" style="122" customWidth="1"/>
    <col min="16" max="16" width="11.625" style="122" customWidth="1"/>
    <col min="17" max="17" width="8.875" style="73" customWidth="1"/>
    <col min="18" max="18" width="13.875" style="73" hidden="1" customWidth="1"/>
    <col min="19" max="19" width="32.875" style="73" hidden="1" customWidth="1"/>
    <col min="20" max="20" width="16.625" style="73" hidden="1" customWidth="1"/>
    <col min="21" max="21" width="16.50390625" style="73" hidden="1" customWidth="1"/>
    <col min="22" max="22" width="18.625" style="73" hidden="1" customWidth="1"/>
    <col min="23" max="23" width="19.375" style="73" hidden="1" customWidth="1"/>
    <col min="24" max="24" width="24.125" style="73" hidden="1" customWidth="1"/>
    <col min="25" max="25" width="24.50390625" style="73" hidden="1" customWidth="1"/>
    <col min="26" max="26" width="31.375" style="73" hidden="1" customWidth="1"/>
    <col min="27" max="16384" width="8.875" style="73" customWidth="1"/>
  </cols>
  <sheetData>
    <row r="1" spans="1:16" s="207" customFormat="1" ht="15" thickBot="1">
      <c r="A1" s="65" t="s">
        <v>21</v>
      </c>
      <c r="B1" s="176">
        <f>IF('START HERE'!F10=C1,"",'START HERE'!F10)</f>
      </c>
      <c r="C1" s="203"/>
      <c r="D1" s="204"/>
      <c r="E1" s="209"/>
      <c r="F1" s="204"/>
      <c r="G1" s="210"/>
      <c r="H1" s="205"/>
      <c r="I1" s="205"/>
      <c r="J1" s="283" t="s">
        <v>26</v>
      </c>
      <c r="K1" s="284"/>
      <c r="L1" s="285"/>
      <c r="M1" s="194"/>
      <c r="O1" s="171" t="s">
        <v>248</v>
      </c>
      <c r="P1" s="206"/>
    </row>
    <row r="2" spans="1:16" ht="15" thickBot="1">
      <c r="A2" s="66" t="s">
        <v>20</v>
      </c>
      <c r="B2" s="67">
        <f>IF('START HERE'!F12=C1,"",'START HERE'!F12)</f>
      </c>
      <c r="C2" s="68" t="s">
        <v>188</v>
      </c>
      <c r="D2" s="189" t="s">
        <v>24</v>
      </c>
      <c r="E2" s="214">
        <f>IF(F2=C1,"",IF(F2='START HERE'!R6,D51,D52))</f>
      </c>
      <c r="F2" s="363">
        <f>IF(AND('START HERE'!F14=C1,'START HERE'!I14='START HERE'!R4,'START HERE'!F12=C1),"",IF(C50&lt;=365.25,'START HERE'!R5,'START HERE'!R6))</f>
      </c>
      <c r="G2" s="364"/>
      <c r="H2" s="70"/>
      <c r="J2" s="370" t="s">
        <v>14</v>
      </c>
      <c r="K2" s="371"/>
      <c r="L2" s="71" t="s">
        <v>17</v>
      </c>
      <c r="M2" s="191"/>
      <c r="O2" s="75" t="s">
        <v>319</v>
      </c>
      <c r="P2" s="72"/>
    </row>
    <row r="3" spans="1:16" ht="15" thickBot="1">
      <c r="A3" s="66" t="s">
        <v>22</v>
      </c>
      <c r="B3" s="74">
        <f>IF('START HERE'!F16=C1,"",'START HERE'!F16)</f>
      </c>
      <c r="C3" s="68">
        <v>65</v>
      </c>
      <c r="D3" s="69"/>
      <c r="F3" s="365">
        <f>IF(E4=C1,C1,IF(C3&lt;E4,C3,E4))</f>
        <v>0</v>
      </c>
      <c r="G3" s="366"/>
      <c r="H3" s="70"/>
      <c r="J3" s="370" t="s">
        <v>15</v>
      </c>
      <c r="K3" s="371"/>
      <c r="L3" s="71" t="s">
        <v>18</v>
      </c>
      <c r="M3" s="191"/>
      <c r="O3" s="75" t="s">
        <v>195</v>
      </c>
      <c r="P3" s="72"/>
    </row>
    <row r="4" spans="1:16" ht="15" thickBot="1">
      <c r="A4" s="76" t="s">
        <v>23</v>
      </c>
      <c r="B4" s="77">
        <f>'START HERE'!P16</f>
      </c>
      <c r="C4" s="78"/>
      <c r="D4" s="177" t="str">
        <f>IF('START HERE'!P16=C1,"Estimated weight:","Actual weight:")</f>
        <v>Estimated weight:</v>
      </c>
      <c r="E4" s="178">
        <f>IF(B4=C1,C58,B4)</f>
      </c>
      <c r="F4" s="367">
        <f>IF(E4=C1,"","kg")</f>
      </c>
      <c r="G4" s="368"/>
      <c r="H4" s="70"/>
      <c r="J4" s="372" t="s">
        <v>16</v>
      </c>
      <c r="K4" s="373"/>
      <c r="L4" s="79" t="s">
        <v>19</v>
      </c>
      <c r="M4" s="191"/>
      <c r="O4" s="75" t="s">
        <v>189</v>
      </c>
      <c r="P4" s="72"/>
    </row>
    <row r="5" spans="2:16" ht="13.5">
      <c r="B5" s="81">
        <f>IF(C50&lt;28,R8,IF(C50&lt;365,R9,IF(C50&lt;730,R10,)))</f>
        <v>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2"/>
      <c r="P5" s="72"/>
    </row>
    <row r="6" spans="1:16" ht="39.75" customHeight="1" thickBot="1">
      <c r="A6" s="374" t="str">
        <f>"These doses are for guidance and all doses should still be 'sense checked'.  A maximum weight of "&amp;C3&amp;"kg has been used.
Please be aware of decimal points."</f>
        <v>These doses are for guidance and all doses should still be 'sense checked'.  A maximum weight of 65kg has been used.
Please be aware of decimal points.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</row>
    <row r="7" spans="1:28" s="84" customFormat="1" ht="15">
      <c r="A7" s="82" t="s">
        <v>139</v>
      </c>
      <c r="B7" s="83" t="s">
        <v>140</v>
      </c>
      <c r="C7" s="83" t="s">
        <v>141</v>
      </c>
      <c r="D7" s="83" t="s">
        <v>142</v>
      </c>
      <c r="E7" s="350" t="s">
        <v>143</v>
      </c>
      <c r="F7" s="350"/>
      <c r="G7" s="350"/>
      <c r="H7" s="350" t="s">
        <v>144</v>
      </c>
      <c r="I7" s="350"/>
      <c r="J7" s="350"/>
      <c r="K7" s="83" t="s">
        <v>145</v>
      </c>
      <c r="L7" s="361" t="s">
        <v>146</v>
      </c>
      <c r="M7" s="362"/>
      <c r="N7" s="350" t="s">
        <v>147</v>
      </c>
      <c r="O7" s="350"/>
      <c r="P7" s="351"/>
      <c r="R7" s="80" t="s">
        <v>165</v>
      </c>
      <c r="S7" s="85" t="s">
        <v>170</v>
      </c>
      <c r="T7" s="80" t="s">
        <v>168</v>
      </c>
      <c r="U7" s="80" t="s">
        <v>169</v>
      </c>
      <c r="V7" s="80" t="s">
        <v>172</v>
      </c>
      <c r="W7" s="80" t="s">
        <v>173</v>
      </c>
      <c r="X7" s="80" t="s">
        <v>177</v>
      </c>
      <c r="Y7" s="80" t="s">
        <v>178</v>
      </c>
      <c r="Z7" s="80" t="s">
        <v>179</v>
      </c>
      <c r="AA7" s="73"/>
      <c r="AB7" s="73"/>
    </row>
    <row r="8" spans="1:28" s="84" customFormat="1" ht="15.75" thickBot="1">
      <c r="A8" s="354" t="s">
        <v>27</v>
      </c>
      <c r="B8" s="355"/>
      <c r="C8" s="355"/>
      <c r="D8" s="355"/>
      <c r="E8" s="355"/>
      <c r="F8" s="355"/>
      <c r="G8" s="355"/>
      <c r="H8" s="356"/>
      <c r="I8" s="356"/>
      <c r="J8" s="356"/>
      <c r="K8" s="355"/>
      <c r="L8" s="355"/>
      <c r="M8" s="355"/>
      <c r="N8" s="355"/>
      <c r="O8" s="355"/>
      <c r="P8" s="357"/>
      <c r="R8" s="54" t="s">
        <v>174</v>
      </c>
      <c r="S8" s="54" t="str">
        <f>S$7&amp;" if "&amp;R8</f>
        <v>Not recommended if under 1 month</v>
      </c>
      <c r="T8" s="73" t="s">
        <v>166</v>
      </c>
      <c r="U8" s="73">
        <f>15/600*1</f>
        <v>0.025</v>
      </c>
      <c r="V8" s="73" t="str">
        <f>S7</f>
        <v>Not recommended</v>
      </c>
      <c r="W8" s="73" t="str">
        <f>S7</f>
        <v>Not recommended</v>
      </c>
      <c r="X8" s="73"/>
      <c r="Y8" s="73"/>
      <c r="Z8" s="73"/>
      <c r="AA8" s="73"/>
      <c r="AB8" s="73"/>
    </row>
    <row r="9" spans="1:28" s="84" customFormat="1" ht="15" thickBot="1">
      <c r="A9" s="86" t="s">
        <v>28</v>
      </c>
      <c r="B9" s="87" t="s">
        <v>29</v>
      </c>
      <c r="C9" s="87" t="s">
        <v>30</v>
      </c>
      <c r="D9" s="87" t="s">
        <v>31</v>
      </c>
      <c r="E9" s="369">
        <v>0.1</v>
      </c>
      <c r="F9" s="369"/>
      <c r="G9" s="312"/>
      <c r="H9" s="302">
        <f>IF(E4=C1,"",IF((E9*F3&gt;10),10,(E9*F3)))</f>
      </c>
      <c r="I9" s="303"/>
      <c r="J9" s="304"/>
      <c r="K9" s="88" t="s">
        <v>32</v>
      </c>
      <c r="L9" s="280" t="s">
        <v>149</v>
      </c>
      <c r="M9" s="281"/>
      <c r="N9" s="324" t="s">
        <v>33</v>
      </c>
      <c r="O9" s="324"/>
      <c r="P9" s="325"/>
      <c r="R9" s="89" t="s">
        <v>175</v>
      </c>
      <c r="S9" s="54" t="str">
        <f>S$7&amp;" if "&amp;R9</f>
        <v>Not recommended if under 1 year</v>
      </c>
      <c r="T9" s="73" t="s">
        <v>167</v>
      </c>
      <c r="U9" s="73">
        <f>20/600*1</f>
        <v>0.03333333333333333</v>
      </c>
      <c r="V9" s="73" t="str">
        <f>S7</f>
        <v>Not recommended</v>
      </c>
      <c r="W9" s="73" t="str">
        <f>S7</f>
        <v>Not recommended</v>
      </c>
      <c r="X9" s="73" t="s">
        <v>103</v>
      </c>
      <c r="Y9" s="73">
        <f>2/100*2</f>
        <v>0.04</v>
      </c>
      <c r="Z9" s="73" t="s">
        <v>181</v>
      </c>
      <c r="AA9" s="73"/>
      <c r="AB9" s="73"/>
    </row>
    <row r="10" spans="1:28" s="84" customFormat="1" ht="15" thickBot="1">
      <c r="A10" s="90" t="s">
        <v>34</v>
      </c>
      <c r="B10" s="91" t="s">
        <v>35</v>
      </c>
      <c r="C10" s="91" t="s">
        <v>36</v>
      </c>
      <c r="D10" s="91" t="s">
        <v>37</v>
      </c>
      <c r="E10" s="347">
        <v>0.16</v>
      </c>
      <c r="F10" s="347"/>
      <c r="G10" s="280"/>
      <c r="H10" s="302">
        <f>IF(E4=C1,"",IF(E10*F3&lt;=10,E10*F3,10))</f>
      </c>
      <c r="I10" s="303"/>
      <c r="J10" s="304"/>
      <c r="K10" s="92" t="s">
        <v>32</v>
      </c>
      <c r="L10" s="280" t="s">
        <v>38</v>
      </c>
      <c r="M10" s="281"/>
      <c r="N10" s="324" t="s">
        <v>39</v>
      </c>
      <c r="O10" s="324"/>
      <c r="P10" s="325"/>
      <c r="R10" s="54" t="s">
        <v>176</v>
      </c>
      <c r="S10" s="54" t="str">
        <f>S$7&amp;" if "&amp;R10</f>
        <v>Not recommended if under 2 years</v>
      </c>
      <c r="T10" s="73"/>
      <c r="U10" s="73"/>
      <c r="V10" s="73" t="str">
        <f>S7</f>
        <v>Not recommended</v>
      </c>
      <c r="W10" s="73" t="str">
        <f>S7</f>
        <v>Not recommended</v>
      </c>
      <c r="X10" s="73" t="s">
        <v>2</v>
      </c>
      <c r="Y10" s="73">
        <f>1/100*2</f>
        <v>0.02</v>
      </c>
      <c r="Z10" s="73" t="s">
        <v>180</v>
      </c>
      <c r="AA10" s="73"/>
      <c r="AB10" s="73"/>
    </row>
    <row r="11" spans="1:28" s="84" customFormat="1" ht="15" thickBot="1">
      <c r="A11" s="93" t="s">
        <v>40</v>
      </c>
      <c r="B11" s="91" t="s">
        <v>41</v>
      </c>
      <c r="C11" s="91" t="s">
        <v>42</v>
      </c>
      <c r="D11" s="94" t="str">
        <f>IF(B5=R8,T8,T9)</f>
        <v>20 micrograms/kg</v>
      </c>
      <c r="E11" s="352">
        <f>IF(B5=R8,U8,U9)</f>
        <v>0.03333333333333333</v>
      </c>
      <c r="F11" s="352"/>
      <c r="G11" s="353"/>
      <c r="H11" s="358">
        <f>IF(E4=C1,"",IF((E11*F3)&gt;=1,1,E11*F3))</f>
      </c>
      <c r="I11" s="359"/>
      <c r="J11" s="360"/>
      <c r="K11" s="92" t="s">
        <v>32</v>
      </c>
      <c r="L11" s="348" t="s">
        <v>150</v>
      </c>
      <c r="M11" s="349"/>
      <c r="N11" s="324" t="s">
        <v>43</v>
      </c>
      <c r="O11" s="324"/>
      <c r="P11" s="325"/>
      <c r="R11" s="73" t="s">
        <v>153</v>
      </c>
      <c r="S11" s="73"/>
      <c r="T11" s="73"/>
      <c r="U11" s="73"/>
      <c r="V11" s="73" t="s">
        <v>171</v>
      </c>
      <c r="W11" s="73">
        <v>0.4</v>
      </c>
      <c r="X11" s="73"/>
      <c r="Y11" s="73"/>
      <c r="Z11" s="73"/>
      <c r="AA11" s="73"/>
      <c r="AB11" s="73"/>
    </row>
    <row r="12" spans="1:16" s="84" customFormat="1" ht="15" thickBot="1">
      <c r="A12" s="93" t="s">
        <v>44</v>
      </c>
      <c r="B12" s="91" t="s">
        <v>45</v>
      </c>
      <c r="C12" s="95">
        <v>0.1</v>
      </c>
      <c r="D12" s="91" t="s">
        <v>46</v>
      </c>
      <c r="E12" s="347">
        <v>0.2</v>
      </c>
      <c r="F12" s="347"/>
      <c r="G12" s="280"/>
      <c r="H12" s="302">
        <f>IF(E4=C1,"",IF(E12*F3&lt;=10,E12*F3,10))</f>
      </c>
      <c r="I12" s="303"/>
      <c r="J12" s="304"/>
      <c r="K12" s="92" t="s">
        <v>47</v>
      </c>
      <c r="L12" s="280" t="s">
        <v>48</v>
      </c>
      <c r="M12" s="281"/>
      <c r="N12" s="324" t="s">
        <v>49</v>
      </c>
      <c r="O12" s="324"/>
      <c r="P12" s="325"/>
    </row>
    <row r="13" spans="1:16" s="84" customFormat="1" ht="15" thickBot="1">
      <c r="A13" s="96" t="s">
        <v>50</v>
      </c>
      <c r="B13" s="87" t="s">
        <v>51</v>
      </c>
      <c r="C13" s="87" t="s">
        <v>52</v>
      </c>
      <c r="D13" s="87" t="s">
        <v>152</v>
      </c>
      <c r="E13" s="97">
        <v>2</v>
      </c>
      <c r="F13" s="98" t="s">
        <v>75</v>
      </c>
      <c r="G13" s="99">
        <v>5</v>
      </c>
      <c r="H13" s="238">
        <f>IF(E4=C1,"",INT(E13*F3))</f>
      </c>
      <c r="I13" s="239" t="str">
        <f>F13</f>
        <v>–</v>
      </c>
      <c r="J13" s="240">
        <f>IF(E4=C1,"",INT(F3*G13))</f>
      </c>
      <c r="K13" s="88" t="s">
        <v>47</v>
      </c>
      <c r="L13" s="280"/>
      <c r="M13" s="281"/>
      <c r="N13" s="324" t="s">
        <v>53</v>
      </c>
      <c r="O13" s="324"/>
      <c r="P13" s="325"/>
    </row>
    <row r="14" spans="1:16" s="84" customFormat="1" ht="15" thickBot="1">
      <c r="A14" s="93" t="s">
        <v>54</v>
      </c>
      <c r="B14" s="91" t="s">
        <v>55</v>
      </c>
      <c r="C14" s="95">
        <v>0.1</v>
      </c>
      <c r="D14" s="94" t="str">
        <f>IF(OR(B5=R8,B5=R9,B5=R10),V8,V11)</f>
        <v>40mg/kg (2mmol/kg)</v>
      </c>
      <c r="E14" s="340">
        <f>IF(OR(B5=R8,B5=R9,B5=R10),V8,W11)</f>
        <v>0.4</v>
      </c>
      <c r="F14" s="341"/>
      <c r="G14" s="341"/>
      <c r="H14" s="342">
        <f>IF(E4=C1,"",IF(OR(B5=R8,B5=R9,B5=R10),"Not recommended",(IF(F3*E14&lt;=20,F3*E14,20))))</f>
      </c>
      <c r="I14" s="343"/>
      <c r="J14" s="344"/>
      <c r="K14" s="92" t="s">
        <v>47</v>
      </c>
      <c r="L14" s="280" t="s">
        <v>56</v>
      </c>
      <c r="M14" s="281"/>
      <c r="N14" s="324">
        <f>IF(OR(B5=R8,B5=R9,B5=R10),(V11&amp;" - "&amp;S10),"")</f>
      </c>
      <c r="O14" s="324"/>
      <c r="P14" s="325"/>
    </row>
    <row r="15" spans="1:16" s="84" customFormat="1" ht="13.5">
      <c r="A15" s="100" t="s">
        <v>155</v>
      </c>
      <c r="B15" s="101" t="s">
        <v>57</v>
      </c>
      <c r="C15" s="101" t="s">
        <v>58</v>
      </c>
      <c r="D15" s="101" t="s">
        <v>154</v>
      </c>
      <c r="E15" s="335">
        <v>0.025</v>
      </c>
      <c r="F15" s="336"/>
      <c r="G15" s="336"/>
      <c r="H15" s="337">
        <f>IF(E4=C1,"",IF((E15*F3&gt;5),5,(E15*F3)))</f>
      </c>
      <c r="I15" s="338"/>
      <c r="J15" s="339"/>
      <c r="K15" s="102" t="s">
        <v>47</v>
      </c>
      <c r="L15" s="307" t="s">
        <v>59</v>
      </c>
      <c r="M15" s="309"/>
      <c r="N15" s="321" t="s">
        <v>60</v>
      </c>
      <c r="O15" s="321"/>
      <c r="P15" s="322"/>
    </row>
    <row r="16" spans="1:16" s="84" customFormat="1" ht="15" thickBot="1">
      <c r="A16" s="96" t="s">
        <v>156</v>
      </c>
      <c r="B16" s="87" t="s">
        <v>57</v>
      </c>
      <c r="C16" s="87" t="s">
        <v>58</v>
      </c>
      <c r="D16" s="87" t="s">
        <v>157</v>
      </c>
      <c r="E16" s="103">
        <v>0.0125</v>
      </c>
      <c r="F16" s="98" t="s">
        <v>75</v>
      </c>
      <c r="G16" s="104">
        <v>0.05</v>
      </c>
      <c r="H16" s="241">
        <f>IF(E4=C1,"",IF((E16*F3&gt;5),5,(E16*F3)))</f>
      </c>
      <c r="I16" s="242" t="str">
        <f>F16</f>
        <v>–</v>
      </c>
      <c r="J16" s="243">
        <f>IF(E4=C1,"",IF((G16*F3&gt;5),5,(G16*F3)))</f>
      </c>
      <c r="K16" s="88" t="s">
        <v>47</v>
      </c>
      <c r="L16" s="310"/>
      <c r="M16" s="311"/>
      <c r="N16" s="314" t="s">
        <v>158</v>
      </c>
      <c r="O16" s="314"/>
      <c r="P16" s="315"/>
    </row>
    <row r="17" spans="1:16" s="84" customFormat="1" ht="15" thickBot="1">
      <c r="A17" s="93" t="s">
        <v>61</v>
      </c>
      <c r="B17" s="91" t="s">
        <v>62</v>
      </c>
      <c r="C17" s="91" t="s">
        <v>63</v>
      </c>
      <c r="D17" s="91" t="s">
        <v>64</v>
      </c>
      <c r="E17" s="280">
        <v>1</v>
      </c>
      <c r="F17" s="301"/>
      <c r="G17" s="301"/>
      <c r="H17" s="302">
        <f>IF(E4=C1,"",IF(E17*F3&lt;=50,E17*F3,50))</f>
      </c>
      <c r="I17" s="303"/>
      <c r="J17" s="304"/>
      <c r="K17" s="92" t="s">
        <v>47</v>
      </c>
      <c r="L17" s="280" t="s">
        <v>65</v>
      </c>
      <c r="M17" s="281"/>
      <c r="N17" s="324" t="s">
        <v>66</v>
      </c>
      <c r="O17" s="324"/>
      <c r="P17" s="325"/>
    </row>
    <row r="18" spans="1:16" s="84" customFormat="1" ht="15" thickBot="1">
      <c r="A18" s="93" t="s">
        <v>206</v>
      </c>
      <c r="B18" s="105" t="s">
        <v>207</v>
      </c>
      <c r="C18" s="106">
        <v>0.009</v>
      </c>
      <c r="D18" s="105" t="s">
        <v>208</v>
      </c>
      <c r="E18" s="107">
        <v>10</v>
      </c>
      <c r="F18" s="98" t="s">
        <v>75</v>
      </c>
      <c r="G18" s="108">
        <v>20</v>
      </c>
      <c r="H18" s="238">
        <f>IF(E4=C1,"",INT(F3*E18))</f>
      </c>
      <c r="I18" s="239" t="str">
        <f>F18</f>
        <v>–</v>
      </c>
      <c r="J18" s="240">
        <f>IF(E4=C1,"",INT(F3*G18))</f>
      </c>
      <c r="K18" s="109" t="s">
        <v>32</v>
      </c>
      <c r="L18" s="345"/>
      <c r="M18" s="346"/>
      <c r="N18" s="324"/>
      <c r="O18" s="324"/>
      <c r="P18" s="325"/>
    </row>
    <row r="19" spans="1:16" s="84" customFormat="1" ht="15" thickBot="1">
      <c r="A19" s="90" t="s">
        <v>67</v>
      </c>
      <c r="B19" s="91" t="s">
        <v>68</v>
      </c>
      <c r="C19" s="91" t="s">
        <v>69</v>
      </c>
      <c r="D19" s="91" t="s">
        <v>70</v>
      </c>
      <c r="E19" s="280">
        <v>4</v>
      </c>
      <c r="F19" s="301"/>
      <c r="G19" s="301"/>
      <c r="H19" s="331">
        <f>IF(E4=C1,"",IF(E19*F3&lt;=200,E19*F3,200))</f>
      </c>
      <c r="I19" s="332"/>
      <c r="J19" s="333"/>
      <c r="K19" s="92" t="s">
        <v>151</v>
      </c>
      <c r="L19" s="280" t="s">
        <v>71</v>
      </c>
      <c r="M19" s="281"/>
      <c r="N19" s="324" t="s">
        <v>72</v>
      </c>
      <c r="O19" s="324"/>
      <c r="P19" s="325"/>
    </row>
    <row r="20" spans="1:16" s="84" customFormat="1" ht="15" thickBot="1">
      <c r="A20" s="90" t="s">
        <v>73</v>
      </c>
      <c r="B20" s="91" t="s">
        <v>74</v>
      </c>
      <c r="C20" s="91" t="s">
        <v>69</v>
      </c>
      <c r="D20" s="91" t="s">
        <v>159</v>
      </c>
      <c r="E20" s="107">
        <v>1</v>
      </c>
      <c r="F20" s="110" t="s">
        <v>75</v>
      </c>
      <c r="G20" s="108">
        <v>2</v>
      </c>
      <c r="H20" s="238">
        <f>IF(E4=C1,"",(F3*E20))</f>
      </c>
      <c r="I20" s="239" t="s">
        <v>75</v>
      </c>
      <c r="J20" s="240">
        <f>IF(E4=C1,"",(F3*G20))</f>
      </c>
      <c r="K20" s="92" t="s">
        <v>151</v>
      </c>
      <c r="L20" s="280" t="s">
        <v>76</v>
      </c>
      <c r="M20" s="281"/>
      <c r="N20" s="324" t="s">
        <v>72</v>
      </c>
      <c r="O20" s="324"/>
      <c r="P20" s="325"/>
    </row>
    <row r="21" spans="1:16" s="84" customFormat="1" ht="15.75" thickBot="1">
      <c r="A21" s="326" t="s">
        <v>77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8"/>
    </row>
    <row r="22" spans="1:16" s="84" customFormat="1" ht="15" thickBot="1">
      <c r="A22" s="90" t="s">
        <v>78</v>
      </c>
      <c r="B22" s="91" t="s">
        <v>79</v>
      </c>
      <c r="C22" s="91" t="s">
        <v>80</v>
      </c>
      <c r="D22" s="91" t="s">
        <v>81</v>
      </c>
      <c r="E22" s="280">
        <v>0.05</v>
      </c>
      <c r="F22" s="301"/>
      <c r="G22" s="301"/>
      <c r="H22" s="302">
        <f>IF(E4=C1,"",(E22*F3))</f>
      </c>
      <c r="I22" s="303"/>
      <c r="J22" s="304"/>
      <c r="K22" s="92" t="s">
        <v>47</v>
      </c>
      <c r="L22" s="280" t="s">
        <v>82</v>
      </c>
      <c r="M22" s="281"/>
      <c r="N22" s="324" t="s">
        <v>160</v>
      </c>
      <c r="O22" s="324"/>
      <c r="P22" s="325"/>
    </row>
    <row r="23" spans="1:16" s="84" customFormat="1" ht="15" thickBot="1">
      <c r="A23" s="90" t="s">
        <v>83</v>
      </c>
      <c r="B23" s="91" t="s">
        <v>84</v>
      </c>
      <c r="C23" s="91" t="s">
        <v>85</v>
      </c>
      <c r="D23" s="91" t="s">
        <v>86</v>
      </c>
      <c r="E23" s="280">
        <v>0.15</v>
      </c>
      <c r="F23" s="301"/>
      <c r="G23" s="301"/>
      <c r="H23" s="302">
        <f>IF(E4=C1,"",IF((E23*F3&gt;30),30,(E23*F3)))</f>
      </c>
      <c r="I23" s="303"/>
      <c r="J23" s="304"/>
      <c r="K23" s="92" t="s">
        <v>47</v>
      </c>
      <c r="L23" s="280" t="s">
        <v>87</v>
      </c>
      <c r="M23" s="281"/>
      <c r="N23" s="324" t="s">
        <v>161</v>
      </c>
      <c r="O23" s="324"/>
      <c r="P23" s="325"/>
    </row>
    <row r="24" spans="1:16" s="84" customFormat="1" ht="13.5">
      <c r="A24" s="305" t="s">
        <v>88</v>
      </c>
      <c r="B24" s="101" t="s">
        <v>89</v>
      </c>
      <c r="C24" s="319" t="s">
        <v>90</v>
      </c>
      <c r="D24" s="101" t="s">
        <v>91</v>
      </c>
      <c r="E24" s="111">
        <v>0.01</v>
      </c>
      <c r="F24" s="112" t="s">
        <v>75</v>
      </c>
      <c r="G24" s="244">
        <v>0.03</v>
      </c>
      <c r="H24" s="245">
        <f>IF(E4=C1,"",IF((E24*F3&gt;1.2),1.2,(E24*F3)))</f>
      </c>
      <c r="I24" s="246" t="s">
        <v>75</v>
      </c>
      <c r="J24" s="247">
        <f>IF(E4=C1,"",IF((G24*F3&gt;1.2),1.2,(G24*F3)))</f>
      </c>
      <c r="K24" s="102" t="s">
        <v>47</v>
      </c>
      <c r="L24" s="307" t="s">
        <v>92</v>
      </c>
      <c r="M24" s="309"/>
      <c r="N24" s="321" t="s">
        <v>162</v>
      </c>
      <c r="O24" s="321"/>
      <c r="P24" s="322"/>
    </row>
    <row r="25" spans="1:16" s="84" customFormat="1" ht="15" thickBot="1">
      <c r="A25" s="306"/>
      <c r="B25" s="87" t="s">
        <v>93</v>
      </c>
      <c r="C25" s="320"/>
      <c r="D25" s="87" t="s">
        <v>94</v>
      </c>
      <c r="E25" s="113">
        <v>0.02</v>
      </c>
      <c r="F25" s="98" t="s">
        <v>75</v>
      </c>
      <c r="G25" s="99">
        <v>0.08</v>
      </c>
      <c r="H25" s="248">
        <f>IF(E4=C1,"",IF((E25*F3&gt;1.2),1.2,(E25*F3)))</f>
      </c>
      <c r="I25" s="249" t="s">
        <v>75</v>
      </c>
      <c r="J25" s="243">
        <f>IF(E4=C1,"",IF((G25*F3&gt;1.2),1.2,(G25*F3)))</f>
      </c>
      <c r="K25" s="88" t="s">
        <v>47</v>
      </c>
      <c r="L25" s="310" t="s">
        <v>92</v>
      </c>
      <c r="M25" s="311"/>
      <c r="N25" s="314" t="s">
        <v>163</v>
      </c>
      <c r="O25" s="314"/>
      <c r="P25" s="315"/>
    </row>
    <row r="26" spans="1:16" s="84" customFormat="1" ht="13.5">
      <c r="A26" s="305" t="s">
        <v>95</v>
      </c>
      <c r="B26" s="101" t="s">
        <v>96</v>
      </c>
      <c r="C26" s="319" t="s">
        <v>97</v>
      </c>
      <c r="D26" s="101" t="s">
        <v>98</v>
      </c>
      <c r="E26" s="307">
        <v>0.05</v>
      </c>
      <c r="F26" s="308"/>
      <c r="G26" s="308"/>
      <c r="H26" s="375">
        <f>IF(E4=C1,"",IF((E26*F3&gt;10),10,(E26*F3)))</f>
      </c>
      <c r="I26" s="376"/>
      <c r="J26" s="377"/>
      <c r="K26" s="102" t="s">
        <v>47</v>
      </c>
      <c r="L26" s="307" t="s">
        <v>99</v>
      </c>
      <c r="M26" s="309"/>
      <c r="N26" s="321" t="s">
        <v>164</v>
      </c>
      <c r="O26" s="321"/>
      <c r="P26" s="322"/>
    </row>
    <row r="27" spans="1:16" s="84" customFormat="1" ht="15" thickBot="1">
      <c r="A27" s="306"/>
      <c r="B27" s="87" t="s">
        <v>93</v>
      </c>
      <c r="C27" s="320"/>
      <c r="D27" s="87" t="s">
        <v>86</v>
      </c>
      <c r="E27" s="312">
        <v>0.3</v>
      </c>
      <c r="F27" s="313"/>
      <c r="G27" s="313"/>
      <c r="H27" s="316">
        <f>IF(E4=C1,"",IF((E27*F3&gt;10),10,(E27*F3)))</f>
      </c>
      <c r="I27" s="317"/>
      <c r="J27" s="318"/>
      <c r="K27" s="88" t="s">
        <v>47</v>
      </c>
      <c r="L27" s="310" t="s">
        <v>100</v>
      </c>
      <c r="M27" s="311"/>
      <c r="N27" s="314"/>
      <c r="O27" s="314"/>
      <c r="P27" s="315"/>
    </row>
    <row r="28" spans="1:16" s="84" customFormat="1" ht="15" thickBot="1">
      <c r="A28" s="90" t="s">
        <v>101</v>
      </c>
      <c r="B28" s="91" t="s">
        <v>93</v>
      </c>
      <c r="C28" s="91" t="s">
        <v>102</v>
      </c>
      <c r="D28" s="91" t="s">
        <v>103</v>
      </c>
      <c r="E28" s="280">
        <v>0.2</v>
      </c>
      <c r="F28" s="301"/>
      <c r="G28" s="301"/>
      <c r="H28" s="302">
        <f>IF(E4=C1,"",(E28*F3))</f>
      </c>
      <c r="I28" s="303"/>
      <c r="J28" s="304"/>
      <c r="K28" s="92" t="s">
        <v>47</v>
      </c>
      <c r="L28" s="280" t="s">
        <v>104</v>
      </c>
      <c r="M28" s="281"/>
      <c r="N28" s="324"/>
      <c r="O28" s="324"/>
      <c r="P28" s="325"/>
    </row>
    <row r="29" spans="1:16" s="84" customFormat="1" ht="15" thickBot="1">
      <c r="A29" s="114" t="s">
        <v>105</v>
      </c>
      <c r="B29" s="91" t="s">
        <v>0</v>
      </c>
      <c r="C29" s="91" t="s">
        <v>1</v>
      </c>
      <c r="D29" s="91" t="str">
        <f>IF(OR(B5=R8,B5=R9),X9,X10)</f>
        <v>1mg/kg</v>
      </c>
      <c r="E29" s="280">
        <f>IF(OR(B5=R8,B5=R9),Y9,Y10)</f>
        <v>0.02</v>
      </c>
      <c r="F29" s="301"/>
      <c r="G29" s="301"/>
      <c r="H29" s="302">
        <f>IF(E4=C1,"",F3*E29)</f>
      </c>
      <c r="I29" s="303"/>
      <c r="J29" s="304"/>
      <c r="K29" s="92" t="s">
        <v>47</v>
      </c>
      <c r="L29" s="280" t="s">
        <v>3</v>
      </c>
      <c r="M29" s="281"/>
      <c r="N29" s="324" t="str">
        <f>IF(OR(B5=R8,B5=R9),Z9,Z10)</f>
        <v>Use 2mg/kg in 1 month - 1 year old</v>
      </c>
      <c r="O29" s="324"/>
      <c r="P29" s="325"/>
    </row>
    <row r="30" spans="1:16" s="84" customFormat="1" ht="15" thickBot="1">
      <c r="A30" s="90" t="s">
        <v>4</v>
      </c>
      <c r="B30" s="91" t="s">
        <v>93</v>
      </c>
      <c r="C30" s="91" t="s">
        <v>5</v>
      </c>
      <c r="D30" s="91" t="s">
        <v>104</v>
      </c>
      <c r="E30" s="280">
        <f>(4/25)</f>
        <v>0.16</v>
      </c>
      <c r="F30" s="301"/>
      <c r="G30" s="301"/>
      <c r="H30" s="302">
        <f>IF(E4=C1,"",IF(E30*F3&lt;=6,E30*F3,6))</f>
      </c>
      <c r="I30" s="303"/>
      <c r="J30" s="304"/>
      <c r="K30" s="92" t="s">
        <v>47</v>
      </c>
      <c r="L30" s="280" t="s">
        <v>6</v>
      </c>
      <c r="M30" s="281"/>
      <c r="N30" s="324" t="s">
        <v>7</v>
      </c>
      <c r="O30" s="324"/>
      <c r="P30" s="325"/>
    </row>
    <row r="31" spans="1:16" s="84" customFormat="1" ht="15.75" thickBot="1">
      <c r="A31" s="326" t="s">
        <v>182</v>
      </c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8"/>
    </row>
    <row r="32" spans="1:16" s="84" customFormat="1" ht="15" thickBot="1">
      <c r="A32" s="115" t="s">
        <v>8</v>
      </c>
      <c r="B32" s="116" t="s">
        <v>182</v>
      </c>
      <c r="C32" s="116" t="s">
        <v>9</v>
      </c>
      <c r="D32" s="116" t="s">
        <v>10</v>
      </c>
      <c r="E32" s="286">
        <v>0.025</v>
      </c>
      <c r="F32" s="334"/>
      <c r="G32" s="334"/>
      <c r="H32" s="292">
        <f>IF(E4=C1,"",IF((E32*F3&gt;1),1,(E32*F3)))</f>
      </c>
      <c r="I32" s="293"/>
      <c r="J32" s="294"/>
      <c r="K32" s="117" t="s">
        <v>47</v>
      </c>
      <c r="L32" s="286" t="s">
        <v>183</v>
      </c>
      <c r="M32" s="287"/>
      <c r="N32" s="378" t="s">
        <v>318</v>
      </c>
      <c r="O32" s="379"/>
      <c r="P32" s="380"/>
    </row>
    <row r="33" spans="1:16" s="84" customFormat="1" ht="15" thickBot="1">
      <c r="A33" s="90" t="s">
        <v>95</v>
      </c>
      <c r="B33" s="91" t="s">
        <v>182</v>
      </c>
      <c r="C33" s="91" t="s">
        <v>97</v>
      </c>
      <c r="D33" s="91" t="s">
        <v>81</v>
      </c>
      <c r="E33" s="280">
        <v>0.5</v>
      </c>
      <c r="F33" s="301"/>
      <c r="G33" s="301"/>
      <c r="H33" s="302">
        <f>IF(E4=C1,"",IF((E33*F3&gt;10),10,(E33*F3)))</f>
      </c>
      <c r="I33" s="303"/>
      <c r="J33" s="304"/>
      <c r="K33" s="92" t="s">
        <v>117</v>
      </c>
      <c r="L33" s="280" t="s">
        <v>100</v>
      </c>
      <c r="M33" s="281"/>
      <c r="N33" s="324" t="s">
        <v>118</v>
      </c>
      <c r="O33" s="324"/>
      <c r="P33" s="325"/>
    </row>
    <row r="34" spans="1:16" s="118" customFormat="1" ht="28.5" thickBot="1">
      <c r="A34" s="115" t="s">
        <v>119</v>
      </c>
      <c r="B34" s="170" t="s">
        <v>317</v>
      </c>
      <c r="C34" s="116" t="s">
        <v>120</v>
      </c>
      <c r="D34" s="116" t="s">
        <v>121</v>
      </c>
      <c r="E34" s="286">
        <v>0.8</v>
      </c>
      <c r="F34" s="334"/>
      <c r="G34" s="334"/>
      <c r="H34" s="292">
        <f>IF(E4=C1,"",IF((E34*F3&gt;20),20,(E34*F3)))</f>
      </c>
      <c r="I34" s="293"/>
      <c r="J34" s="294"/>
      <c r="K34" s="117" t="s">
        <v>122</v>
      </c>
      <c r="L34" s="286" t="s">
        <v>184</v>
      </c>
      <c r="M34" s="287"/>
      <c r="N34" s="379" t="s">
        <v>185</v>
      </c>
      <c r="O34" s="379"/>
      <c r="P34" s="380"/>
    </row>
    <row r="35" spans="1:16" s="84" customFormat="1" ht="15" thickBot="1">
      <c r="A35" s="90" t="s">
        <v>123</v>
      </c>
      <c r="B35" s="91" t="s">
        <v>124</v>
      </c>
      <c r="C35" s="91" t="s">
        <v>125</v>
      </c>
      <c r="D35" s="91" t="s">
        <v>46</v>
      </c>
      <c r="E35" s="280">
        <v>0.4</v>
      </c>
      <c r="F35" s="301"/>
      <c r="G35" s="301"/>
      <c r="H35" s="302">
        <f>IF(E4=C1,"",(F3*E35))</f>
      </c>
      <c r="I35" s="303"/>
      <c r="J35" s="304"/>
      <c r="K35" s="92" t="s">
        <v>47</v>
      </c>
      <c r="L35" s="280" t="s">
        <v>126</v>
      </c>
      <c r="M35" s="281"/>
      <c r="N35" s="324" t="s">
        <v>186</v>
      </c>
      <c r="O35" s="324"/>
      <c r="P35" s="325"/>
    </row>
    <row r="36" spans="1:16" s="84" customFormat="1" ht="15.75" thickBot="1">
      <c r="A36" s="326" t="s">
        <v>127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8"/>
    </row>
    <row r="37" spans="1:16" s="84" customFormat="1" ht="15" thickBot="1">
      <c r="A37" s="90" t="s">
        <v>128</v>
      </c>
      <c r="B37" s="91" t="s">
        <v>129</v>
      </c>
      <c r="C37" s="91" t="s">
        <v>130</v>
      </c>
      <c r="D37" s="91" t="s">
        <v>10</v>
      </c>
      <c r="E37" s="280">
        <v>0.01</v>
      </c>
      <c r="F37" s="301"/>
      <c r="G37" s="301"/>
      <c r="H37" s="302">
        <f>IF(E4=C1,"",IF((E37*F3&gt;10),10,(E37*F3)))</f>
      </c>
      <c r="I37" s="303"/>
      <c r="J37" s="304"/>
      <c r="K37" s="92" t="s">
        <v>47</v>
      </c>
      <c r="L37" s="280" t="s">
        <v>100</v>
      </c>
      <c r="M37" s="281"/>
      <c r="N37" s="324" t="s">
        <v>131</v>
      </c>
      <c r="O37" s="324"/>
      <c r="P37" s="325"/>
    </row>
    <row r="38" spans="1:16" s="84" customFormat="1" ht="15.75" thickBot="1">
      <c r="A38" s="326" t="s">
        <v>132</v>
      </c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8"/>
    </row>
    <row r="39" spans="1:16" s="84" customFormat="1" ht="15" thickBot="1">
      <c r="A39" s="119" t="s">
        <v>133</v>
      </c>
      <c r="B39" s="120" t="s">
        <v>134</v>
      </c>
      <c r="C39" s="120" t="s">
        <v>135</v>
      </c>
      <c r="D39" s="120" t="s">
        <v>136</v>
      </c>
      <c r="E39" s="288">
        <v>0.5</v>
      </c>
      <c r="F39" s="323"/>
      <c r="G39" s="323"/>
      <c r="H39" s="302">
        <f>IF(E4=C1,"",IF((E39*F3&gt;12),12,(E39*F3)))</f>
      </c>
      <c r="I39" s="303"/>
      <c r="J39" s="304"/>
      <c r="K39" s="121" t="s">
        <v>137</v>
      </c>
      <c r="L39" s="288" t="s">
        <v>138</v>
      </c>
      <c r="M39" s="289"/>
      <c r="N39" s="329"/>
      <c r="O39" s="329"/>
      <c r="P39" s="330"/>
    </row>
    <row r="40" ht="15" thickBot="1"/>
    <row r="41" spans="1:16" ht="31.5" customHeight="1">
      <c r="A41" s="200" t="str">
        <f>'START HERE'!D37</f>
        <v>Original version by:</v>
      </c>
      <c r="B41" s="201" t="str">
        <f>'START HERE'!E37</f>
        <v>Mike Pearce / David Harris / Sam Colver / Mark Williams</v>
      </c>
      <c r="E41" s="296" t="s">
        <v>330</v>
      </c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8"/>
    </row>
    <row r="42" spans="1:16" ht="31.5" customHeight="1">
      <c r="A42" s="200" t="str">
        <f>'START HERE'!D38</f>
        <v>v1.4 ammended by:</v>
      </c>
      <c r="B42" s="201" t="str">
        <f>'START HERE'!E38</f>
        <v>Steve Corry / Mark Williams / Damian Rolands / Gareth Lewis</v>
      </c>
      <c r="E42" s="193"/>
      <c r="F42" s="41"/>
      <c r="G42" s="295" t="str">
        <f>D2</f>
        <v>Age:</v>
      </c>
      <c r="H42" s="295"/>
      <c r="I42" s="295"/>
      <c r="J42" s="290" t="str">
        <f>E2&amp;" "&amp;F2</f>
        <v> </v>
      </c>
      <c r="K42" s="290"/>
      <c r="L42" s="282" t="s">
        <v>328</v>
      </c>
      <c r="M42" s="282"/>
      <c r="N42" s="196"/>
      <c r="O42" s="196"/>
      <c r="P42" s="197"/>
    </row>
    <row r="43" spans="1:16" ht="31.5" customHeight="1">
      <c r="A43" s="200" t="str">
        <f>'START HERE'!D39</f>
        <v>Date:</v>
      </c>
      <c r="B43" s="202">
        <f>'START HERE'!E39</f>
        <v>41870</v>
      </c>
      <c r="E43" s="299" t="str">
        <f>D4</f>
        <v>Estimated weight:</v>
      </c>
      <c r="F43" s="295"/>
      <c r="G43" s="295"/>
      <c r="H43" s="295"/>
      <c r="I43" s="295"/>
      <c r="J43" s="300" t="str">
        <f>E4&amp;" "&amp;F4</f>
        <v> </v>
      </c>
      <c r="K43" s="300"/>
      <c r="L43" s="195"/>
      <c r="M43" s="195"/>
      <c r="N43" s="195"/>
      <c r="O43" s="195"/>
      <c r="P43" s="197"/>
    </row>
    <row r="44" spans="1:16" ht="31.5" customHeight="1">
      <c r="A44" s="200" t="str">
        <f>'START HERE'!D40</f>
        <v>Review due:</v>
      </c>
      <c r="B44" s="201" t="str">
        <f>'START HERE'!E40</f>
        <v>End of December 2015</v>
      </c>
      <c r="C44" s="258"/>
      <c r="D44" s="259"/>
      <c r="E44" s="299"/>
      <c r="F44" s="295"/>
      <c r="G44" s="295"/>
      <c r="H44" s="295"/>
      <c r="I44" s="295"/>
      <c r="J44" s="300"/>
      <c r="K44" s="300"/>
      <c r="L44" s="282" t="s">
        <v>329</v>
      </c>
      <c r="M44" s="282"/>
      <c r="N44" s="196"/>
      <c r="O44" s="196"/>
      <c r="P44" s="197"/>
    </row>
    <row r="45" spans="5:16" ht="4.5" customHeight="1" thickBot="1">
      <c r="E45" s="192"/>
      <c r="F45" s="53"/>
      <c r="G45" s="198"/>
      <c r="H45" s="198"/>
      <c r="I45" s="198"/>
      <c r="J45" s="198"/>
      <c r="K45" s="198"/>
      <c r="L45" s="198"/>
      <c r="M45" s="198"/>
      <c r="N45" s="198"/>
      <c r="O45" s="198"/>
      <c r="P45" s="199"/>
    </row>
    <row r="46" spans="1:16" s="207" customFormat="1" ht="13.5">
      <c r="A46" s="215"/>
      <c r="N46" s="206"/>
      <c r="O46" s="206"/>
      <c r="P46" s="206"/>
    </row>
    <row r="47" spans="1:16" s="207" customFormat="1" ht="13.5">
      <c r="A47" s="215"/>
      <c r="N47" s="206"/>
      <c r="O47" s="206"/>
      <c r="P47" s="206"/>
    </row>
    <row r="48" spans="1:16" s="207" customFormat="1" ht="13.5">
      <c r="A48" s="215"/>
      <c r="N48" s="206"/>
      <c r="O48" s="206"/>
      <c r="P48" s="206"/>
    </row>
    <row r="49" spans="1:16" s="217" customFormat="1" ht="13.5">
      <c r="A49" s="216"/>
      <c r="C49" s="233"/>
      <c r="D49" s="233" t="s">
        <v>336</v>
      </c>
      <c r="N49" s="219"/>
      <c r="O49" s="219"/>
      <c r="P49" s="219"/>
    </row>
    <row r="50" spans="1:16" s="217" customFormat="1" ht="13.5">
      <c r="A50" s="216"/>
      <c r="B50" s="222" t="s">
        <v>331</v>
      </c>
      <c r="C50" s="218">
        <f ca="1">IF(AND('START HERE'!F12=C1,'START HERE'!F14=C1,'START HERE'!I14='START HERE'!R4),"",(IF('START HERE'!F12=C1,IF('START HERE'!I14='START HERE'!R6,'START HERE'!F14*365.25,'START HERE'!F14*30.4375),(INT((NOW()-'START HERE'!F12))))))</f>
      </c>
      <c r="D50" s="233" t="s">
        <v>197</v>
      </c>
      <c r="N50" s="219"/>
      <c r="O50" s="219"/>
      <c r="P50" s="219"/>
    </row>
    <row r="51" spans="1:16" s="217" customFormat="1" ht="13.5">
      <c r="A51" s="216"/>
      <c r="B51" s="222" t="s">
        <v>332</v>
      </c>
      <c r="C51" s="220" t="e">
        <f>C50/365.25</f>
        <v>#VALUE!</v>
      </c>
      <c r="D51" s="234" t="e">
        <f>INT(C51*10)/10</f>
        <v>#VALUE!</v>
      </c>
      <c r="I51" s="221"/>
      <c r="J51" s="291"/>
      <c r="K51" s="291"/>
      <c r="N51" s="219"/>
      <c r="O51" s="219"/>
      <c r="P51" s="219"/>
    </row>
    <row r="52" spans="1:16" s="217" customFormat="1" ht="13.5">
      <c r="A52" s="216"/>
      <c r="B52" s="222" t="s">
        <v>338</v>
      </c>
      <c r="C52" s="233" t="e">
        <f>C50/30.4375</f>
        <v>#VALUE!</v>
      </c>
      <c r="D52" s="234" t="e">
        <f>INT(C52*10)/10</f>
        <v>#VALUE!</v>
      </c>
      <c r="N52" s="219"/>
      <c r="O52" s="219"/>
      <c r="P52" s="219"/>
    </row>
    <row r="53" spans="1:16" s="217" customFormat="1" ht="13.5">
      <c r="A53" s="216"/>
      <c r="B53" s="222"/>
      <c r="C53" s="233"/>
      <c r="D53" s="233"/>
      <c r="N53" s="219"/>
      <c r="O53" s="219"/>
      <c r="P53" s="219"/>
    </row>
    <row r="54" spans="1:16" s="217" customFormat="1" ht="13.5">
      <c r="A54" s="216"/>
      <c r="B54" s="222" t="s">
        <v>333</v>
      </c>
      <c r="C54" s="235" t="e">
        <f>(0.5*C52)+4</f>
        <v>#VALUE!</v>
      </c>
      <c r="D54" s="233" t="e">
        <f>(INT(C54*100))/100</f>
        <v>#VALUE!</v>
      </c>
      <c r="N54" s="219"/>
      <c r="O54" s="219"/>
      <c r="P54" s="219"/>
    </row>
    <row r="55" spans="1:16" s="217" customFormat="1" ht="13.5">
      <c r="A55" s="216"/>
      <c r="B55" s="222" t="s">
        <v>335</v>
      </c>
      <c r="C55" s="235" t="e">
        <f>(2*C51)+8</f>
        <v>#VALUE!</v>
      </c>
      <c r="D55" s="233" t="e">
        <f>(INT(C55*10))/10</f>
        <v>#VALUE!</v>
      </c>
      <c r="N55" s="219"/>
      <c r="O55" s="219"/>
      <c r="P55" s="219"/>
    </row>
    <row r="56" spans="1:16" s="217" customFormat="1" ht="13.5">
      <c r="A56" s="216"/>
      <c r="B56" s="222" t="s">
        <v>334</v>
      </c>
      <c r="C56" s="235" t="e">
        <f>(3*C51)+7</f>
        <v>#VALUE!</v>
      </c>
      <c r="D56" s="233" t="e">
        <f>(INT(C56*10))/10</f>
        <v>#VALUE!</v>
      </c>
      <c r="N56" s="219"/>
      <c r="O56" s="219"/>
      <c r="P56" s="219"/>
    </row>
    <row r="57" spans="1:16" s="217" customFormat="1" ht="13.5">
      <c r="A57" s="216"/>
      <c r="B57" s="222"/>
      <c r="C57" s="233"/>
      <c r="D57" s="233"/>
      <c r="N57" s="219"/>
      <c r="O57" s="219"/>
      <c r="P57" s="219"/>
    </row>
    <row r="58" spans="1:16" s="217" customFormat="1" ht="13.5">
      <c r="A58" s="216"/>
      <c r="B58" s="222" t="s">
        <v>337</v>
      </c>
      <c r="C58" s="236">
        <f>IF(AND('START HERE'!F12=C1,'START HERE'!F14=C1,'START HERE'!I14='START HERE'!R4),"",IF(C50&lt;=365.25,D54,(IF(C50&lt;=1826.25,D55,D56))))</f>
      </c>
      <c r="D58" s="233"/>
      <c r="N58" s="219"/>
      <c r="O58" s="219"/>
      <c r="P58" s="219"/>
    </row>
    <row r="59" spans="1:16" s="207" customFormat="1" ht="13.5">
      <c r="A59" s="215"/>
      <c r="N59" s="206"/>
      <c r="O59" s="206"/>
      <c r="P59" s="206"/>
    </row>
    <row r="60" spans="1:16" s="207" customFormat="1" ht="13.5">
      <c r="A60" s="215"/>
      <c r="N60" s="206"/>
      <c r="O60" s="206"/>
      <c r="P60" s="206"/>
    </row>
    <row r="61" spans="1:16" s="207" customFormat="1" ht="13.5">
      <c r="A61" s="215"/>
      <c r="N61" s="206"/>
      <c r="O61" s="206"/>
      <c r="P61" s="206"/>
    </row>
    <row r="62" spans="1:16" s="207" customFormat="1" ht="13.5">
      <c r="A62" s="215"/>
      <c r="N62" s="206"/>
      <c r="O62" s="206"/>
      <c r="P62" s="206"/>
    </row>
    <row r="63" spans="1:16" s="207" customFormat="1" ht="13.5">
      <c r="A63" s="215"/>
      <c r="N63" s="206"/>
      <c r="O63" s="206"/>
      <c r="P63" s="206"/>
    </row>
    <row r="64" spans="1:16" s="207" customFormat="1" ht="13.5">
      <c r="A64" s="215"/>
      <c r="N64" s="206"/>
      <c r="O64" s="206"/>
      <c r="P64" s="206"/>
    </row>
    <row r="65" spans="1:16" s="207" customFormat="1" ht="13.5">
      <c r="A65" s="215"/>
      <c r="N65" s="206"/>
      <c r="O65" s="206"/>
      <c r="P65" s="206"/>
    </row>
    <row r="66" spans="1:16" s="207" customFormat="1" ht="13.5">
      <c r="A66" s="215"/>
      <c r="N66" s="206"/>
      <c r="O66" s="206"/>
      <c r="P66" s="206"/>
    </row>
    <row r="67" spans="1:16" s="207" customFormat="1" ht="13.5">
      <c r="A67" s="215"/>
      <c r="N67" s="206"/>
      <c r="O67" s="206"/>
      <c r="P67" s="206"/>
    </row>
    <row r="68" spans="1:16" s="207" customFormat="1" ht="13.5">
      <c r="A68" s="215"/>
      <c r="N68" s="206"/>
      <c r="O68" s="206"/>
      <c r="P68" s="206"/>
    </row>
    <row r="69" spans="1:16" s="207" customFormat="1" ht="13.5">
      <c r="A69" s="215"/>
      <c r="N69" s="206"/>
      <c r="O69" s="206"/>
      <c r="P69" s="206"/>
    </row>
    <row r="70" spans="1:16" s="207" customFormat="1" ht="13.5">
      <c r="A70" s="215"/>
      <c r="N70" s="206"/>
      <c r="O70" s="206"/>
      <c r="P70" s="206"/>
    </row>
    <row r="71" spans="1:16" s="207" customFormat="1" ht="13.5">
      <c r="A71" s="215"/>
      <c r="N71" s="206"/>
      <c r="O71" s="206"/>
      <c r="P71" s="206"/>
    </row>
    <row r="72" spans="1:16" s="207" customFormat="1" ht="13.5">
      <c r="A72" s="215"/>
      <c r="N72" s="206"/>
      <c r="O72" s="206"/>
      <c r="P72" s="206"/>
    </row>
    <row r="73" spans="1:16" s="207" customFormat="1" ht="13.5">
      <c r="A73" s="215"/>
      <c r="N73" s="206"/>
      <c r="O73" s="206"/>
      <c r="P73" s="206"/>
    </row>
    <row r="74" spans="1:16" s="207" customFormat="1" ht="13.5">
      <c r="A74" s="215"/>
      <c r="N74" s="206"/>
      <c r="O74" s="206"/>
      <c r="P74" s="206"/>
    </row>
    <row r="75" spans="1:16" s="207" customFormat="1" ht="13.5">
      <c r="A75" s="215"/>
      <c r="N75" s="206"/>
      <c r="O75" s="206"/>
      <c r="P75" s="206"/>
    </row>
    <row r="76" spans="1:16" s="207" customFormat="1" ht="13.5">
      <c r="A76" s="215"/>
      <c r="N76" s="206"/>
      <c r="O76" s="206"/>
      <c r="P76" s="206"/>
    </row>
  </sheetData>
  <sheetProtection password="CC3D" sheet="1" objects="1" scenarios="1"/>
  <mergeCells count="125">
    <mergeCell ref="N33:P33"/>
    <mergeCell ref="N34:P34"/>
    <mergeCell ref="N35:P35"/>
    <mergeCell ref="H33:J33"/>
    <mergeCell ref="E34:G34"/>
    <mergeCell ref="N37:P37"/>
    <mergeCell ref="N23:P23"/>
    <mergeCell ref="H26:J26"/>
    <mergeCell ref="H34:J34"/>
    <mergeCell ref="E28:G28"/>
    <mergeCell ref="H28:J28"/>
    <mergeCell ref="E29:G29"/>
    <mergeCell ref="H29:J29"/>
    <mergeCell ref="N30:P30"/>
    <mergeCell ref="A31:P31"/>
    <mergeCell ref="N32:P32"/>
    <mergeCell ref="A6:P6"/>
    <mergeCell ref="A38:P38"/>
    <mergeCell ref="N15:P15"/>
    <mergeCell ref="N16:P16"/>
    <mergeCell ref="N17:P17"/>
    <mergeCell ref="N20:P20"/>
    <mergeCell ref="A21:P21"/>
    <mergeCell ref="N22:P22"/>
    <mergeCell ref="E22:G22"/>
    <mergeCell ref="H22:J22"/>
    <mergeCell ref="F2:G2"/>
    <mergeCell ref="F3:G3"/>
    <mergeCell ref="F4:G4"/>
    <mergeCell ref="H9:J9"/>
    <mergeCell ref="H7:J7"/>
    <mergeCell ref="E7:G7"/>
    <mergeCell ref="E9:G9"/>
    <mergeCell ref="J2:K2"/>
    <mergeCell ref="J3:K3"/>
    <mergeCell ref="J4:K4"/>
    <mergeCell ref="L11:M11"/>
    <mergeCell ref="N7:P7"/>
    <mergeCell ref="E11:G11"/>
    <mergeCell ref="A8:P8"/>
    <mergeCell ref="H10:J10"/>
    <mergeCell ref="N9:P9"/>
    <mergeCell ref="H11:J11"/>
    <mergeCell ref="L7:M7"/>
    <mergeCell ref="L9:M9"/>
    <mergeCell ref="L14:M14"/>
    <mergeCell ref="L15:M15"/>
    <mergeCell ref="H12:J12"/>
    <mergeCell ref="N11:P11"/>
    <mergeCell ref="E10:G10"/>
    <mergeCell ref="N10:P10"/>
    <mergeCell ref="N12:P12"/>
    <mergeCell ref="E12:G12"/>
    <mergeCell ref="L12:M12"/>
    <mergeCell ref="L10:M10"/>
    <mergeCell ref="L16:M16"/>
    <mergeCell ref="L17:M17"/>
    <mergeCell ref="H23:J23"/>
    <mergeCell ref="L13:M13"/>
    <mergeCell ref="N19:P19"/>
    <mergeCell ref="E14:G14"/>
    <mergeCell ref="H14:J14"/>
    <mergeCell ref="N18:P18"/>
    <mergeCell ref="L18:M18"/>
    <mergeCell ref="L19:M19"/>
    <mergeCell ref="E15:G15"/>
    <mergeCell ref="H15:J15"/>
    <mergeCell ref="E17:G17"/>
    <mergeCell ref="H17:J17"/>
    <mergeCell ref="C24:C25"/>
    <mergeCell ref="N13:P13"/>
    <mergeCell ref="N14:P14"/>
    <mergeCell ref="E23:G23"/>
    <mergeCell ref="L20:M20"/>
    <mergeCell ref="L22:M22"/>
    <mergeCell ref="H19:J19"/>
    <mergeCell ref="N24:P24"/>
    <mergeCell ref="N25:P25"/>
    <mergeCell ref="E35:G35"/>
    <mergeCell ref="H35:J35"/>
    <mergeCell ref="E37:G37"/>
    <mergeCell ref="H37:J37"/>
    <mergeCell ref="E32:G32"/>
    <mergeCell ref="L23:M23"/>
    <mergeCell ref="E19:G19"/>
    <mergeCell ref="N27:P27"/>
    <mergeCell ref="H27:J27"/>
    <mergeCell ref="C26:C27"/>
    <mergeCell ref="N26:P26"/>
    <mergeCell ref="E39:G39"/>
    <mergeCell ref="H39:J39"/>
    <mergeCell ref="N28:P28"/>
    <mergeCell ref="N29:P29"/>
    <mergeCell ref="A36:P36"/>
    <mergeCell ref="N39:P39"/>
    <mergeCell ref="E30:G30"/>
    <mergeCell ref="H30:J30"/>
    <mergeCell ref="A26:A27"/>
    <mergeCell ref="E26:G26"/>
    <mergeCell ref="L24:M24"/>
    <mergeCell ref="L25:M25"/>
    <mergeCell ref="L26:M26"/>
    <mergeCell ref="L27:M27"/>
    <mergeCell ref="E27:G27"/>
    <mergeCell ref="A24:A25"/>
    <mergeCell ref="L32:M32"/>
    <mergeCell ref="L33:M33"/>
    <mergeCell ref="J42:K42"/>
    <mergeCell ref="J51:K51"/>
    <mergeCell ref="H32:J32"/>
    <mergeCell ref="G42:I42"/>
    <mergeCell ref="E41:P41"/>
    <mergeCell ref="E43:I44"/>
    <mergeCell ref="J43:K44"/>
    <mergeCell ref="E33:G33"/>
    <mergeCell ref="L28:M28"/>
    <mergeCell ref="L42:M42"/>
    <mergeCell ref="J1:L1"/>
    <mergeCell ref="L44:M44"/>
    <mergeCell ref="L34:M34"/>
    <mergeCell ref="L35:M35"/>
    <mergeCell ref="L37:M37"/>
    <mergeCell ref="L39:M39"/>
    <mergeCell ref="L29:M29"/>
    <mergeCell ref="L30:M30"/>
  </mergeCells>
  <hyperlinks>
    <hyperlink ref="O1" location="'START HERE'!F10" display="Start"/>
    <hyperlink ref="O3" location="Equipment!A1" display="Equipment"/>
    <hyperlink ref="O4" location="WETFLAG!A2" display="WETFLAG"/>
    <hyperlink ref="O2" location="'Drugs - Age'!A1" display="Drugs by age"/>
  </hyperlinks>
  <printOptions/>
  <pageMargins left="0.7" right="0.7" top="0.75" bottom="0.75" header="0.3" footer="0.3"/>
  <pageSetup fitToHeight="1" fitToWidth="1" horizontalDpi="600" verticalDpi="600" orientation="landscape" paperSize="9" scale="52"/>
  <headerFooter alignWithMargins="0">
    <oddHeader>&amp;L&amp;D &amp;T&amp;R&amp;G</oddHeader>
    <oddFooter>&amp;L&amp;G Follow us on Twitter: @EMFOAMed</oddFooter>
  </headerFooter>
  <ignoredErrors>
    <ignoredError sqref="B5" evalError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RowColHeaders="0" zoomScalePageLayoutView="0" workbookViewId="0" topLeftCell="E1">
      <selection activeCell="M10" sqref="M10"/>
    </sheetView>
  </sheetViews>
  <sheetFormatPr defaultColWidth="8.875" defaultRowHeight="17.25"/>
  <cols>
    <col min="1" max="1" width="10.00390625" style="59" hidden="1" customWidth="1"/>
    <col min="2" max="2" width="10.125" style="59" hidden="1" customWidth="1"/>
    <col min="3" max="3" width="12.375" style="59" hidden="1" customWidth="1"/>
    <col min="4" max="4" width="12.375" style="169" hidden="1" customWidth="1"/>
    <col min="5" max="5" width="12.875" style="59" customWidth="1"/>
    <col min="6" max="6" width="27.625" style="59" customWidth="1"/>
    <col min="7" max="7" width="8.00390625" style="59" customWidth="1"/>
    <col min="8" max="8" width="11.875" style="59" customWidth="1"/>
    <col min="9" max="9" width="23.625" style="59" customWidth="1"/>
    <col min="10" max="10" width="7.625" style="59" customWidth="1"/>
    <col min="11" max="11" width="47.875" style="59" customWidth="1"/>
    <col min="12" max="12" width="0.6171875" style="2" customWidth="1"/>
    <col min="13" max="13" width="12.125" style="59" bestFit="1" customWidth="1"/>
    <col min="14" max="16384" width="8.875" style="59" customWidth="1"/>
  </cols>
  <sheetData>
    <row r="1" spans="2:4" ht="13.5">
      <c r="B1" s="208">
        <f>'Drugs - Table'!C50</f>
      </c>
      <c r="C1" s="59" t="s">
        <v>313</v>
      </c>
      <c r="D1" s="169">
        <f>'Drugs - Table'!F2</f>
      </c>
    </row>
    <row r="2" spans="1:13" ht="15" thickBot="1">
      <c r="A2">
        <f>365.25/12</f>
        <v>30.4375</v>
      </c>
      <c r="B2" t="s">
        <v>261</v>
      </c>
      <c r="C2" s="262"/>
      <c r="D2" s="1" t="s">
        <v>314</v>
      </c>
      <c r="E2" s="262"/>
      <c r="F2" s="262"/>
      <c r="G2" s="262"/>
      <c r="H2" s="223">
        <f>'Drugs - Table'!E2</f>
      </c>
      <c r="I2" s="223">
        <f>'Drugs - Table'!F2</f>
      </c>
      <c r="J2" s="262"/>
      <c r="K2" s="262"/>
      <c r="L2" s="262"/>
      <c r="M2" s="262"/>
    </row>
    <row r="3" spans="1:12" s="64" customFormat="1" ht="24.75" thickBot="1">
      <c r="A3" t="s">
        <v>256</v>
      </c>
      <c r="B3" t="s">
        <v>257</v>
      </c>
      <c r="C3"/>
      <c r="D3" s="1" t="s">
        <v>258</v>
      </c>
      <c r="E3" s="139" t="s">
        <v>139</v>
      </c>
      <c r="F3" s="140" t="s">
        <v>215</v>
      </c>
      <c r="G3" s="140" t="s">
        <v>115</v>
      </c>
      <c r="H3" s="140" t="s">
        <v>142</v>
      </c>
      <c r="I3" s="135" t="s">
        <v>116</v>
      </c>
      <c r="J3" s="140" t="s">
        <v>145</v>
      </c>
      <c r="K3" s="141" t="s">
        <v>302</v>
      </c>
      <c r="L3" s="63"/>
    </row>
    <row r="4" spans="1:13" ht="15" customHeight="1" thickBot="1">
      <c r="A4" s="59">
        <v>0</v>
      </c>
      <c r="B4" s="59">
        <f>A2*6</f>
        <v>182.625</v>
      </c>
      <c r="D4" s="169" t="str">
        <f>IF($D$1=$E$1,$D$3,IF(AND(A4&lt;$B$1,$B$1&lt;=B4),$D$2,$D$3))</f>
        <v>|</v>
      </c>
      <c r="E4" s="384" t="s">
        <v>303</v>
      </c>
      <c r="F4" s="148" t="s">
        <v>267</v>
      </c>
      <c r="G4" s="149" t="s">
        <v>268</v>
      </c>
      <c r="H4" s="150" t="s">
        <v>305</v>
      </c>
      <c r="I4" s="136">
        <v>0.05</v>
      </c>
      <c r="J4" s="151" t="s">
        <v>269</v>
      </c>
      <c r="K4" s="152" t="s">
        <v>270</v>
      </c>
      <c r="M4"/>
    </row>
    <row r="5" spans="1:13" ht="15" customHeight="1" thickBot="1" thickTop="1">
      <c r="A5" s="59">
        <f>B4</f>
        <v>182.625</v>
      </c>
      <c r="B5" s="59">
        <f>365.25*6</f>
        <v>2191.5</v>
      </c>
      <c r="D5" s="169" t="str">
        <f aca="true" t="shared" si="0" ref="D5:D24">IF($D$1=$E$1,$D$3,IF(AND(A5&lt;$B$1,$B$1&lt;=B5),$D$2,$D$3))</f>
        <v>|</v>
      </c>
      <c r="E5" s="385"/>
      <c r="F5" s="123" t="s">
        <v>271</v>
      </c>
      <c r="G5" s="124" t="s">
        <v>268</v>
      </c>
      <c r="H5" s="130" t="s">
        <v>306</v>
      </c>
      <c r="I5" s="137">
        <v>0.15</v>
      </c>
      <c r="J5" s="133" t="s">
        <v>269</v>
      </c>
      <c r="K5" s="126" t="s">
        <v>270</v>
      </c>
      <c r="M5"/>
    </row>
    <row r="6" spans="1:13" ht="15" customHeight="1" thickBot="1" thickTop="1">
      <c r="A6" s="59">
        <f>B5</f>
        <v>2191.5</v>
      </c>
      <c r="B6" s="59">
        <f>365.25*12</f>
        <v>4383</v>
      </c>
      <c r="D6" s="169" t="str">
        <f t="shared" si="0"/>
        <v>|</v>
      </c>
      <c r="E6" s="385"/>
      <c r="F6" s="123" t="s">
        <v>272</v>
      </c>
      <c r="G6" s="124" t="s">
        <v>268</v>
      </c>
      <c r="H6" s="130" t="s">
        <v>307</v>
      </c>
      <c r="I6" s="137">
        <v>0.3</v>
      </c>
      <c r="J6" s="133" t="s">
        <v>269</v>
      </c>
      <c r="K6" s="126" t="s">
        <v>270</v>
      </c>
      <c r="M6" s="36" t="s">
        <v>248</v>
      </c>
    </row>
    <row r="7" spans="1:13" ht="15" customHeight="1" thickBot="1" thickTop="1">
      <c r="A7" s="59">
        <f>B6</f>
        <v>4383</v>
      </c>
      <c r="B7" s="59">
        <f>365.25*1000</f>
        <v>365250</v>
      </c>
      <c r="D7" s="169" t="str">
        <f t="shared" si="0"/>
        <v>|</v>
      </c>
      <c r="E7" s="386"/>
      <c r="F7" s="127" t="s">
        <v>273</v>
      </c>
      <c r="G7" s="153" t="s">
        <v>268</v>
      </c>
      <c r="H7" s="154" t="s">
        <v>308</v>
      </c>
      <c r="I7" s="138">
        <v>0.5</v>
      </c>
      <c r="J7" s="134" t="s">
        <v>269</v>
      </c>
      <c r="K7" s="129" t="s">
        <v>270</v>
      </c>
      <c r="M7" s="37"/>
    </row>
    <row r="8" spans="1:13" ht="15" customHeight="1" thickBot="1">
      <c r="A8" s="59">
        <v>0</v>
      </c>
      <c r="B8" s="59">
        <v>365.25</v>
      </c>
      <c r="D8" s="169" t="str">
        <f t="shared" si="0"/>
        <v>|</v>
      </c>
      <c r="E8" s="387" t="s">
        <v>274</v>
      </c>
      <c r="F8" s="142" t="s">
        <v>275</v>
      </c>
      <c r="G8" s="143" t="s">
        <v>276</v>
      </c>
      <c r="H8" s="144" t="s">
        <v>309</v>
      </c>
      <c r="I8" s="145">
        <v>1.25</v>
      </c>
      <c r="J8" s="146" t="s">
        <v>122</v>
      </c>
      <c r="K8" s="147" t="s">
        <v>278</v>
      </c>
      <c r="M8" s="36" t="s">
        <v>320</v>
      </c>
    </row>
    <row r="9" spans="1:13" ht="15" customHeight="1" thickBot="1" thickTop="1">
      <c r="A9" s="59">
        <f>B8</f>
        <v>365.25</v>
      </c>
      <c r="B9" s="59">
        <f>5*365.25</f>
        <v>1826.25</v>
      </c>
      <c r="D9" s="169" t="str">
        <f t="shared" si="0"/>
        <v>|</v>
      </c>
      <c r="E9" s="387"/>
      <c r="F9" s="123" t="s">
        <v>279</v>
      </c>
      <c r="G9" s="125" t="s">
        <v>276</v>
      </c>
      <c r="H9" s="131" t="s">
        <v>310</v>
      </c>
      <c r="I9" s="137">
        <v>2.5</v>
      </c>
      <c r="J9" s="133" t="s">
        <v>122</v>
      </c>
      <c r="K9" s="126" t="s">
        <v>278</v>
      </c>
      <c r="M9" s="37"/>
    </row>
    <row r="10" spans="1:13" ht="15" customHeight="1" thickBot="1" thickTop="1">
      <c r="A10" s="59">
        <f aca="true" t="shared" si="1" ref="A10:A24">B9</f>
        <v>1826.25</v>
      </c>
      <c r="B10" s="59">
        <f>365.25*1000</f>
        <v>365250</v>
      </c>
      <c r="D10" s="169" t="str">
        <f t="shared" si="0"/>
        <v>|</v>
      </c>
      <c r="E10" s="387"/>
      <c r="F10" s="155" t="s">
        <v>281</v>
      </c>
      <c r="G10" s="156" t="s">
        <v>9</v>
      </c>
      <c r="H10" s="157" t="s">
        <v>311</v>
      </c>
      <c r="I10" s="158">
        <v>2.5</v>
      </c>
      <c r="J10" s="159" t="s">
        <v>122</v>
      </c>
      <c r="K10" s="160" t="s">
        <v>278</v>
      </c>
      <c r="M10" s="36" t="s">
        <v>195</v>
      </c>
    </row>
    <row r="11" spans="1:13" ht="15" customHeight="1" thickBot="1">
      <c r="A11" s="59">
        <v>0</v>
      </c>
      <c r="B11" s="59">
        <v>365.25</v>
      </c>
      <c r="D11" s="169" t="str">
        <f t="shared" si="0"/>
        <v>|</v>
      </c>
      <c r="E11" s="388" t="s">
        <v>282</v>
      </c>
      <c r="F11" s="148" t="s">
        <v>275</v>
      </c>
      <c r="G11" s="149"/>
      <c r="H11" s="150"/>
      <c r="I11" s="136" t="s">
        <v>283</v>
      </c>
      <c r="J11" s="151" t="s">
        <v>284</v>
      </c>
      <c r="K11" s="152" t="s">
        <v>285</v>
      </c>
      <c r="M11"/>
    </row>
    <row r="12" spans="1:13" ht="15" customHeight="1" thickBot="1" thickTop="1">
      <c r="A12" s="59">
        <f t="shared" si="1"/>
        <v>365.25</v>
      </c>
      <c r="B12" s="59">
        <f>365.25*5</f>
        <v>1826.25</v>
      </c>
      <c r="D12" s="169" t="str">
        <f t="shared" si="0"/>
        <v>|</v>
      </c>
      <c r="E12" s="387"/>
      <c r="F12" s="123" t="s">
        <v>279</v>
      </c>
      <c r="G12" s="124"/>
      <c r="H12" s="130"/>
      <c r="I12" s="137" t="s">
        <v>286</v>
      </c>
      <c r="J12" s="133" t="s">
        <v>284</v>
      </c>
      <c r="K12" s="126" t="s">
        <v>285</v>
      </c>
      <c r="M12" s="36" t="s">
        <v>189</v>
      </c>
    </row>
    <row r="13" spans="1:13" ht="15" customHeight="1" thickBot="1" thickTop="1">
      <c r="A13" s="59">
        <f t="shared" si="1"/>
        <v>1826.25</v>
      </c>
      <c r="B13" s="59">
        <f>365.25*1000</f>
        <v>365250</v>
      </c>
      <c r="D13" s="169" t="str">
        <f t="shared" si="0"/>
        <v>|</v>
      </c>
      <c r="E13" s="389"/>
      <c r="F13" s="127" t="s">
        <v>281</v>
      </c>
      <c r="G13" s="153"/>
      <c r="H13" s="154"/>
      <c r="I13" s="138" t="s">
        <v>287</v>
      </c>
      <c r="J13" s="134" t="s">
        <v>284</v>
      </c>
      <c r="K13" s="129" t="s">
        <v>285</v>
      </c>
      <c r="M13"/>
    </row>
    <row r="14" spans="1:11" ht="15" customHeight="1" thickBot="1">
      <c r="A14" s="59">
        <v>0</v>
      </c>
      <c r="B14" s="59">
        <f>6*A2</f>
        <v>182.625</v>
      </c>
      <c r="D14" s="169" t="str">
        <f t="shared" si="0"/>
        <v>|</v>
      </c>
      <c r="E14" s="387" t="s">
        <v>288</v>
      </c>
      <c r="F14" s="142" t="s">
        <v>267</v>
      </c>
      <c r="G14" s="161"/>
      <c r="H14" s="162"/>
      <c r="I14" s="145" t="s">
        <v>289</v>
      </c>
      <c r="J14" s="146"/>
      <c r="K14" s="147"/>
    </row>
    <row r="15" spans="1:11" ht="15" customHeight="1" thickBot="1" thickTop="1">
      <c r="A15" s="59">
        <f t="shared" si="1"/>
        <v>182.625</v>
      </c>
      <c r="B15" s="59">
        <f>365.25*5</f>
        <v>1826.25</v>
      </c>
      <c r="D15" s="169" t="str">
        <f t="shared" si="0"/>
        <v>|</v>
      </c>
      <c r="E15" s="387"/>
      <c r="F15" s="123" t="s">
        <v>290</v>
      </c>
      <c r="G15" s="124"/>
      <c r="H15" s="130"/>
      <c r="I15" s="137" t="s">
        <v>277</v>
      </c>
      <c r="J15" s="133" t="s">
        <v>284</v>
      </c>
      <c r="K15" s="126" t="s">
        <v>285</v>
      </c>
    </row>
    <row r="16" spans="1:11" ht="15" customHeight="1" thickBot="1" thickTop="1">
      <c r="A16" s="59">
        <f t="shared" si="1"/>
        <v>1826.25</v>
      </c>
      <c r="B16" s="59">
        <f>365.25*1000</f>
        <v>365250</v>
      </c>
      <c r="D16" s="169" t="str">
        <f t="shared" si="0"/>
        <v>|</v>
      </c>
      <c r="E16" s="387"/>
      <c r="F16" s="155" t="s">
        <v>281</v>
      </c>
      <c r="G16" s="163"/>
      <c r="H16" s="164"/>
      <c r="I16" s="158" t="s">
        <v>280</v>
      </c>
      <c r="J16" s="159" t="s">
        <v>284</v>
      </c>
      <c r="K16" s="160" t="s">
        <v>285</v>
      </c>
    </row>
    <row r="17" spans="1:11" ht="36.75" thickBot="1">
      <c r="A17" s="59">
        <v>0</v>
      </c>
      <c r="B17" s="59">
        <f>365.25*12</f>
        <v>4383</v>
      </c>
      <c r="D17" s="169" t="str">
        <f t="shared" si="0"/>
        <v>|</v>
      </c>
      <c r="E17" s="388" t="s">
        <v>291</v>
      </c>
      <c r="F17" s="148" t="s">
        <v>292</v>
      </c>
      <c r="G17" s="165"/>
      <c r="H17" s="166" t="s">
        <v>312</v>
      </c>
      <c r="I17" s="136" t="s">
        <v>293</v>
      </c>
      <c r="J17" s="151" t="s">
        <v>47</v>
      </c>
      <c r="K17" s="167" t="s">
        <v>315</v>
      </c>
    </row>
    <row r="18" spans="1:11" ht="25.5" thickBot="1" thickTop="1">
      <c r="A18" s="59">
        <f t="shared" si="1"/>
        <v>4383</v>
      </c>
      <c r="B18" s="59">
        <f>365.25*18</f>
        <v>6574.5</v>
      </c>
      <c r="D18" s="169" t="str">
        <f t="shared" si="0"/>
        <v>|</v>
      </c>
      <c r="E18" s="389"/>
      <c r="F18" s="127" t="s">
        <v>294</v>
      </c>
      <c r="G18" s="128"/>
      <c r="H18" s="132" t="s">
        <v>295</v>
      </c>
      <c r="I18" s="138" t="s">
        <v>296</v>
      </c>
      <c r="J18" s="134" t="s">
        <v>47</v>
      </c>
      <c r="K18" s="168" t="s">
        <v>316</v>
      </c>
    </row>
    <row r="19" spans="1:11" ht="15" customHeight="1" thickBot="1">
      <c r="A19" s="59">
        <v>0</v>
      </c>
      <c r="B19" s="59">
        <f>A2</f>
        <v>30.4375</v>
      </c>
      <c r="D19" s="169" t="str">
        <f t="shared" si="0"/>
        <v>|</v>
      </c>
      <c r="E19" s="385" t="s">
        <v>304</v>
      </c>
      <c r="F19" s="142" t="s">
        <v>297</v>
      </c>
      <c r="G19" s="381" t="s">
        <v>106</v>
      </c>
      <c r="H19" s="144"/>
      <c r="I19" s="145" t="s">
        <v>107</v>
      </c>
      <c r="J19" s="146" t="s">
        <v>117</v>
      </c>
      <c r="K19" s="147"/>
    </row>
    <row r="20" spans="1:11" ht="15" customHeight="1" thickBot="1" thickTop="1">
      <c r="A20" s="59">
        <f t="shared" si="1"/>
        <v>30.4375</v>
      </c>
      <c r="B20" s="59">
        <f>A2*6</f>
        <v>182.625</v>
      </c>
      <c r="D20" s="169" t="str">
        <f t="shared" si="0"/>
        <v>|</v>
      </c>
      <c r="E20" s="385"/>
      <c r="F20" s="123" t="s">
        <v>108</v>
      </c>
      <c r="G20" s="382"/>
      <c r="H20" s="131"/>
      <c r="I20" s="137" t="s">
        <v>107</v>
      </c>
      <c r="J20" s="133" t="s">
        <v>117</v>
      </c>
      <c r="K20" s="126"/>
    </row>
    <row r="21" spans="1:11" ht="15" customHeight="1" thickBot="1" thickTop="1">
      <c r="A21" s="59">
        <f t="shared" si="1"/>
        <v>182.625</v>
      </c>
      <c r="B21" s="59">
        <v>365.25</v>
      </c>
      <c r="D21" s="169" t="str">
        <f t="shared" si="0"/>
        <v>|</v>
      </c>
      <c r="E21" s="385"/>
      <c r="F21" s="123" t="s">
        <v>109</v>
      </c>
      <c r="G21" s="382"/>
      <c r="H21" s="131"/>
      <c r="I21" s="137" t="s">
        <v>277</v>
      </c>
      <c r="J21" s="133" t="s">
        <v>117</v>
      </c>
      <c r="K21" s="126"/>
    </row>
    <row r="22" spans="1:11" ht="15" customHeight="1" thickBot="1" thickTop="1">
      <c r="A22" s="59">
        <f t="shared" si="1"/>
        <v>365.25</v>
      </c>
      <c r="B22" s="59">
        <f>365.25*5</f>
        <v>1826.25</v>
      </c>
      <c r="D22" s="169" t="str">
        <f t="shared" si="0"/>
        <v>|</v>
      </c>
      <c r="E22" s="385"/>
      <c r="F22" s="123" t="s">
        <v>110</v>
      </c>
      <c r="G22" s="382"/>
      <c r="H22" s="131"/>
      <c r="I22" s="137" t="s">
        <v>280</v>
      </c>
      <c r="J22" s="133" t="s">
        <v>117</v>
      </c>
      <c r="K22" s="126"/>
    </row>
    <row r="23" spans="1:11" ht="15" customHeight="1" thickBot="1" thickTop="1">
      <c r="A23" s="59">
        <f t="shared" si="1"/>
        <v>1826.25</v>
      </c>
      <c r="B23" s="59">
        <f>365.25*10</f>
        <v>3652.5</v>
      </c>
      <c r="D23" s="169" t="str">
        <f t="shared" si="0"/>
        <v>|</v>
      </c>
      <c r="E23" s="385"/>
      <c r="F23" s="123" t="s">
        <v>111</v>
      </c>
      <c r="G23" s="382"/>
      <c r="H23" s="131"/>
      <c r="I23" s="137" t="s">
        <v>112</v>
      </c>
      <c r="J23" s="133" t="s">
        <v>117</v>
      </c>
      <c r="K23" s="126"/>
    </row>
    <row r="24" spans="1:11" ht="15" customHeight="1" thickBot="1" thickTop="1">
      <c r="A24" s="59">
        <f t="shared" si="1"/>
        <v>3652.5</v>
      </c>
      <c r="B24" s="59">
        <f>365.25*1000</f>
        <v>365250</v>
      </c>
      <c r="D24" s="169" t="str">
        <f t="shared" si="0"/>
        <v>|</v>
      </c>
      <c r="E24" s="386"/>
      <c r="F24" s="127" t="s">
        <v>113</v>
      </c>
      <c r="G24" s="383"/>
      <c r="H24" s="132"/>
      <c r="I24" s="138" t="s">
        <v>114</v>
      </c>
      <c r="J24" s="134" t="s">
        <v>117</v>
      </c>
      <c r="K24" s="129"/>
    </row>
    <row r="25" spans="5:11" ht="13.5">
      <c r="E25" s="60"/>
      <c r="F25" s="60"/>
      <c r="G25" s="60"/>
      <c r="H25" s="60"/>
      <c r="I25" s="61"/>
      <c r="J25" s="60"/>
      <c r="K25" s="60"/>
    </row>
    <row r="26" spans="5:11" ht="17.25">
      <c r="E26" s="62"/>
      <c r="F26" s="251"/>
      <c r="H26" s="62"/>
      <c r="I26" s="62"/>
      <c r="J26" s="62"/>
      <c r="K26" s="62"/>
    </row>
    <row r="27" spans="6:7" ht="17.25">
      <c r="F27" s="41"/>
      <c r="G27" s="51" t="s">
        <v>298</v>
      </c>
    </row>
    <row r="28" ht="17.25">
      <c r="G28" s="257" t="s">
        <v>201</v>
      </c>
    </row>
    <row r="29" ht="17.25"/>
  </sheetData>
  <sheetProtection password="CC3D" sheet="1" objects="1" scenarios="1"/>
  <mergeCells count="7">
    <mergeCell ref="G19:G24"/>
    <mergeCell ref="E4:E7"/>
    <mergeCell ref="E8:E10"/>
    <mergeCell ref="E11:E13"/>
    <mergeCell ref="E14:E16"/>
    <mergeCell ref="E17:E18"/>
    <mergeCell ref="E19:E24"/>
  </mergeCells>
  <conditionalFormatting sqref="F4:K4 F14:K14">
    <cfRule type="expression" priority="17" dxfId="2" stopIfTrue="1">
      <formula>($D$4=$D$2)</formula>
    </cfRule>
  </conditionalFormatting>
  <conditionalFormatting sqref="F5:K5">
    <cfRule type="expression" priority="16" dxfId="2" stopIfTrue="1">
      <formula>($D$5=$D$2)</formula>
    </cfRule>
  </conditionalFormatting>
  <conditionalFormatting sqref="F6:K6">
    <cfRule type="expression" priority="15" dxfId="2" stopIfTrue="1">
      <formula>($D$6=$D$2)</formula>
    </cfRule>
  </conditionalFormatting>
  <conditionalFormatting sqref="F7:K7 F18:K18">
    <cfRule type="expression" priority="14" dxfId="2" stopIfTrue="1">
      <formula>($D$7=$D$2)</formula>
    </cfRule>
  </conditionalFormatting>
  <conditionalFormatting sqref="F8:K8 F11:K11">
    <cfRule type="expression" priority="13" dxfId="2" stopIfTrue="1">
      <formula>($D$8=$D$2)</formula>
    </cfRule>
  </conditionalFormatting>
  <conditionalFormatting sqref="F9:K9 F22 H22:K22 F12:K12">
    <cfRule type="expression" priority="12" dxfId="2" stopIfTrue="1">
      <formula>($D$9=$D$2)</formula>
    </cfRule>
  </conditionalFormatting>
  <conditionalFormatting sqref="F10:K10 F13:K13 F16:K16">
    <cfRule type="expression" priority="11" dxfId="2" stopIfTrue="1">
      <formula>($D$10=$D$2)</formula>
    </cfRule>
  </conditionalFormatting>
  <conditionalFormatting sqref="F15:K15">
    <cfRule type="expression" priority="10" dxfId="2" stopIfTrue="1">
      <formula>($D$15=$D$2)</formula>
    </cfRule>
  </conditionalFormatting>
  <conditionalFormatting sqref="F17:K17">
    <cfRule type="expression" priority="9" dxfId="2" stopIfTrue="1">
      <formula>($D$17=$D$2)</formula>
    </cfRule>
  </conditionalFormatting>
  <conditionalFormatting sqref="F19 H19:K19">
    <cfRule type="expression" priority="8" dxfId="2" stopIfTrue="1">
      <formula>($D$19=$D$2)</formula>
    </cfRule>
  </conditionalFormatting>
  <conditionalFormatting sqref="F20 H20:K20">
    <cfRule type="expression" priority="7" dxfId="2" stopIfTrue="1">
      <formula>($D$20=$D$2)</formula>
    </cfRule>
  </conditionalFormatting>
  <conditionalFormatting sqref="F21 H21:K21">
    <cfRule type="expression" priority="6" dxfId="2" stopIfTrue="1">
      <formula>($D$21=$D$2)</formula>
    </cfRule>
  </conditionalFormatting>
  <conditionalFormatting sqref="F23 H23:K23">
    <cfRule type="expression" priority="4" dxfId="2" stopIfTrue="1">
      <formula>($D$23=$D$2)</formula>
    </cfRule>
  </conditionalFormatting>
  <conditionalFormatting sqref="F24 H24:K24">
    <cfRule type="expression" priority="3" dxfId="2" stopIfTrue="1">
      <formula>($D$24=$D$2)</formula>
    </cfRule>
  </conditionalFormatting>
  <conditionalFormatting sqref="G19:G24">
    <cfRule type="expression" priority="1" dxfId="2" stopIfTrue="1">
      <formula>(NOT($E$1=$D$1))</formula>
    </cfRule>
  </conditionalFormatting>
  <hyperlinks>
    <hyperlink ref="M12" location="WETFLAG!A2" display="WETFLAG"/>
    <hyperlink ref="M8" location="'Drugs - Table'!A1" display="Drugs table"/>
    <hyperlink ref="M6" location="'START HERE'!F10" display="Start"/>
    <hyperlink ref="M10" location="Equipment!A1" display="Equipment"/>
    <hyperlink ref="G28" r:id="rId1" display=" @EM3FOAMed"/>
  </hyperlinks>
  <printOptions/>
  <pageMargins left="0.7" right="0.7" top="0.75" bottom="0.75" header="0.3" footer="0.3"/>
  <pageSetup fitToHeight="1" fitToWidth="1" horizontalDpi="600" verticalDpi="600" orientation="landscape" paperSize="9" scale="96"/>
  <headerFooter alignWithMargins="0">
    <oddHeader>&amp;L&amp;D &amp;T&amp;R&amp;G</oddHeader>
    <oddFooter>&amp;L&amp;G Follow us on Twitter: @EM3FOAMed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showRowColHeaders="0" workbookViewId="0" topLeftCell="F1">
      <selection activeCell="N12" sqref="N12"/>
    </sheetView>
  </sheetViews>
  <sheetFormatPr defaultColWidth="8.875" defaultRowHeight="17.25"/>
  <cols>
    <col min="1" max="1" width="10.00390625" style="0" hidden="1" customWidth="1"/>
    <col min="2" max="3" width="10.125" style="0" hidden="1" customWidth="1"/>
    <col min="4" max="4" width="8.875" style="0" hidden="1" customWidth="1"/>
    <col min="5" max="5" width="13.375" style="1" hidden="1" customWidth="1"/>
    <col min="6" max="6" width="10.125" style="0" bestFit="1" customWidth="1"/>
    <col min="7" max="7" width="32.00390625" style="0" bestFit="1" customWidth="1"/>
    <col min="8" max="8" width="18.625" style="0" bestFit="1" customWidth="1"/>
    <col min="9" max="9" width="15.00390625" style="0" bestFit="1" customWidth="1"/>
    <col min="10" max="10" width="23.50390625" style="0" bestFit="1" customWidth="1"/>
    <col min="11" max="11" width="18.125" style="0" bestFit="1" customWidth="1"/>
    <col min="12" max="12" width="2.125" style="0" customWidth="1"/>
    <col min="13" max="13" width="0.12890625" style="0" customWidth="1"/>
    <col min="14" max="14" width="13.625" style="0" customWidth="1"/>
    <col min="15" max="15" width="13.125" style="0" bestFit="1" customWidth="1"/>
  </cols>
  <sheetData>
    <row r="1" spans="2:11" ht="14.25" customHeight="1">
      <c r="B1" s="224">
        <f>'Drugs - Table'!C50</f>
      </c>
      <c r="C1" s="225">
        <f>'Drugs - Table'!F2</f>
      </c>
      <c r="F1" s="391"/>
      <c r="G1" s="391"/>
      <c r="H1" s="391"/>
      <c r="I1" s="391"/>
      <c r="J1" s="391"/>
      <c r="K1" s="391"/>
    </row>
    <row r="2" spans="1:11" ht="14.25" customHeight="1">
      <c r="A2">
        <f>365.25/12</f>
        <v>30.4375</v>
      </c>
      <c r="B2" t="s">
        <v>261</v>
      </c>
      <c r="D2" t="s">
        <v>258</v>
      </c>
      <c r="E2" s="1" t="s">
        <v>260</v>
      </c>
      <c r="F2" s="392"/>
      <c r="G2" s="392"/>
      <c r="H2" s="392"/>
      <c r="I2" s="392"/>
      <c r="J2" s="392"/>
      <c r="K2" s="392"/>
    </row>
    <row r="3" spans="6:11" ht="14.25" customHeight="1">
      <c r="F3" s="392"/>
      <c r="G3" s="392"/>
      <c r="H3" s="392"/>
      <c r="I3" s="392"/>
      <c r="J3" s="392"/>
      <c r="K3" s="392"/>
    </row>
    <row r="4" spans="6:11" ht="13.5">
      <c r="F4" s="390" t="str">
        <f>'Drugs - Table'!E2&amp;" "&amp;'Drugs - Table'!F2:G2</f>
        <v> </v>
      </c>
      <c r="G4" s="390"/>
      <c r="H4" s="390"/>
      <c r="I4" s="390"/>
      <c r="J4" s="390"/>
      <c r="K4" s="390"/>
    </row>
    <row r="5" ht="6" customHeight="1" thickBot="1"/>
    <row r="6" spans="1:14" ht="15.75" thickBot="1">
      <c r="A6" t="s">
        <v>256</v>
      </c>
      <c r="B6" t="s">
        <v>257</v>
      </c>
      <c r="C6" t="s">
        <v>262</v>
      </c>
      <c r="F6" s="3" t="s">
        <v>215</v>
      </c>
      <c r="G6" s="4" t="s">
        <v>216</v>
      </c>
      <c r="H6" s="4" t="s">
        <v>217</v>
      </c>
      <c r="I6" s="4" t="s">
        <v>218</v>
      </c>
      <c r="J6" s="4" t="s">
        <v>219</v>
      </c>
      <c r="K6" s="30" t="s">
        <v>220</v>
      </c>
      <c r="N6" s="36" t="s">
        <v>248</v>
      </c>
    </row>
    <row r="7" spans="1:14" ht="15" thickBot="1">
      <c r="A7">
        <v>0</v>
      </c>
      <c r="B7">
        <f>$A$2*C7</f>
        <v>15.21875</v>
      </c>
      <c r="C7">
        <v>0.5</v>
      </c>
      <c r="D7" t="s">
        <v>255</v>
      </c>
      <c r="E7" s="1" t="str">
        <f>IF(AND($B$1&gt;A7,$B$1&lt;=B7),$E$2,$D$2)</f>
        <v>|</v>
      </c>
      <c r="F7" s="31" t="s">
        <v>221</v>
      </c>
      <c r="G7" s="14" t="s">
        <v>222</v>
      </c>
      <c r="H7" s="14">
        <v>10</v>
      </c>
      <c r="I7" s="14">
        <v>6</v>
      </c>
      <c r="J7" s="14">
        <v>8</v>
      </c>
      <c r="K7" s="32" t="s">
        <v>223</v>
      </c>
      <c r="N7" s="37"/>
    </row>
    <row r="8" spans="1:14" ht="15" thickBot="1">
      <c r="A8">
        <f>B7</f>
        <v>15.21875</v>
      </c>
      <c r="B8">
        <f aca="true" t="shared" si="0" ref="B8:B13">$A$2*C8</f>
        <v>45.65625</v>
      </c>
      <c r="C8">
        <v>1.5</v>
      </c>
      <c r="D8" t="s">
        <v>255</v>
      </c>
      <c r="E8" s="1" t="str">
        <f aca="true" t="shared" si="1" ref="E8:E27">IF(AND($B$1&gt;A8,$B$1&lt;=B8),$E$2,$D$2)</f>
        <v>|</v>
      </c>
      <c r="F8" s="31" t="s">
        <v>224</v>
      </c>
      <c r="G8" s="14" t="s">
        <v>225</v>
      </c>
      <c r="H8" s="14">
        <v>10</v>
      </c>
      <c r="I8" s="14">
        <v>6</v>
      </c>
      <c r="J8" s="14">
        <v>8</v>
      </c>
      <c r="K8" s="32" t="s">
        <v>223</v>
      </c>
      <c r="N8" s="172" t="s">
        <v>320</v>
      </c>
    </row>
    <row r="9" spans="1:14" ht="15" thickBot="1">
      <c r="A9">
        <f aca="true" t="shared" si="2" ref="A9:A28">B8</f>
        <v>45.65625</v>
      </c>
      <c r="B9">
        <f t="shared" si="0"/>
        <v>91.3125</v>
      </c>
      <c r="C9">
        <v>3</v>
      </c>
      <c r="D9" t="s">
        <v>255</v>
      </c>
      <c r="E9" s="1" t="str">
        <f t="shared" si="1"/>
        <v>|</v>
      </c>
      <c r="F9" s="31" t="s">
        <v>226</v>
      </c>
      <c r="G9" s="14" t="s">
        <v>225</v>
      </c>
      <c r="H9" s="14">
        <v>10</v>
      </c>
      <c r="I9" s="14">
        <v>6</v>
      </c>
      <c r="J9" s="14">
        <v>8</v>
      </c>
      <c r="K9" s="32" t="s">
        <v>223</v>
      </c>
      <c r="N9" s="37"/>
    </row>
    <row r="10" spans="1:14" ht="15" thickBot="1">
      <c r="A10">
        <f t="shared" si="2"/>
        <v>91.3125</v>
      </c>
      <c r="B10">
        <f t="shared" si="0"/>
        <v>152.1875</v>
      </c>
      <c r="C10">
        <v>5</v>
      </c>
      <c r="D10" t="s">
        <v>255</v>
      </c>
      <c r="E10" s="1" t="str">
        <f t="shared" si="1"/>
        <v>|</v>
      </c>
      <c r="F10" s="31" t="s">
        <v>227</v>
      </c>
      <c r="G10" s="14" t="s">
        <v>225</v>
      </c>
      <c r="H10" s="14">
        <v>10</v>
      </c>
      <c r="I10" s="14">
        <v>10</v>
      </c>
      <c r="J10" s="14">
        <v>8</v>
      </c>
      <c r="K10" s="32" t="s">
        <v>223</v>
      </c>
      <c r="N10" s="172" t="s">
        <v>319</v>
      </c>
    </row>
    <row r="11" spans="1:11" ht="15" thickBot="1">
      <c r="A11">
        <f t="shared" si="2"/>
        <v>152.1875</v>
      </c>
      <c r="B11">
        <f t="shared" si="0"/>
        <v>213.0625</v>
      </c>
      <c r="C11">
        <v>7</v>
      </c>
      <c r="D11" t="s">
        <v>255</v>
      </c>
      <c r="E11" s="1" t="str">
        <f t="shared" si="1"/>
        <v>|</v>
      </c>
      <c r="F11" s="31" t="s">
        <v>228</v>
      </c>
      <c r="G11" s="14" t="s">
        <v>225</v>
      </c>
      <c r="H11" s="14">
        <v>10.5</v>
      </c>
      <c r="I11" s="14">
        <v>10</v>
      </c>
      <c r="J11" s="14">
        <v>8</v>
      </c>
      <c r="K11" s="32" t="s">
        <v>223</v>
      </c>
    </row>
    <row r="12" spans="1:14" ht="15" thickBot="1">
      <c r="A12">
        <f t="shared" si="2"/>
        <v>213.0625</v>
      </c>
      <c r="B12">
        <f t="shared" si="0"/>
        <v>273.9375</v>
      </c>
      <c r="C12">
        <v>9</v>
      </c>
      <c r="D12" t="s">
        <v>255</v>
      </c>
      <c r="E12" s="1" t="str">
        <f t="shared" si="1"/>
        <v>|</v>
      </c>
      <c r="F12" s="31" t="s">
        <v>229</v>
      </c>
      <c r="G12" s="14" t="s">
        <v>230</v>
      </c>
      <c r="H12" s="14">
        <v>11</v>
      </c>
      <c r="I12" s="14">
        <v>10</v>
      </c>
      <c r="J12" s="14">
        <v>8</v>
      </c>
      <c r="K12" s="32" t="s">
        <v>231</v>
      </c>
      <c r="N12" s="172" t="s">
        <v>189</v>
      </c>
    </row>
    <row r="13" spans="1:11" ht="13.5">
      <c r="A13">
        <f t="shared" si="2"/>
        <v>273.9375</v>
      </c>
      <c r="B13">
        <f t="shared" si="0"/>
        <v>334.8125</v>
      </c>
      <c r="C13">
        <v>11</v>
      </c>
      <c r="D13" t="s">
        <v>255</v>
      </c>
      <c r="E13" s="1" t="str">
        <f t="shared" si="1"/>
        <v>|</v>
      </c>
      <c r="F13" s="31" t="s">
        <v>232</v>
      </c>
      <c r="G13" s="14" t="s">
        <v>230</v>
      </c>
      <c r="H13" s="14">
        <v>11</v>
      </c>
      <c r="I13" s="14">
        <v>10</v>
      </c>
      <c r="J13" s="14">
        <v>8</v>
      </c>
      <c r="K13" s="32" t="s">
        <v>231</v>
      </c>
    </row>
    <row r="14" spans="1:11" ht="13.5">
      <c r="A14">
        <f t="shared" si="2"/>
        <v>334.8125</v>
      </c>
      <c r="B14">
        <f>C14*365</f>
        <v>456.25</v>
      </c>
      <c r="C14">
        <v>1.25</v>
      </c>
      <c r="D14" t="s">
        <v>259</v>
      </c>
      <c r="E14" s="1" t="str">
        <f t="shared" si="1"/>
        <v>|</v>
      </c>
      <c r="F14" s="31" t="s">
        <v>233</v>
      </c>
      <c r="G14" s="14" t="s">
        <v>230</v>
      </c>
      <c r="H14" s="14">
        <v>12</v>
      </c>
      <c r="I14" s="14">
        <v>10</v>
      </c>
      <c r="J14" s="14">
        <v>10</v>
      </c>
      <c r="K14" s="32" t="s">
        <v>231</v>
      </c>
    </row>
    <row r="15" spans="1:11" ht="13.5">
      <c r="A15">
        <f t="shared" si="2"/>
        <v>456.25</v>
      </c>
      <c r="B15">
        <f>C15*365</f>
        <v>638.75</v>
      </c>
      <c r="C15">
        <v>1.75</v>
      </c>
      <c r="D15" t="s">
        <v>259</v>
      </c>
      <c r="E15" s="1" t="str">
        <f t="shared" si="1"/>
        <v>|</v>
      </c>
      <c r="F15" s="31" t="s">
        <v>234</v>
      </c>
      <c r="G15" s="14" t="s">
        <v>230</v>
      </c>
      <c r="H15" s="14">
        <v>12.5</v>
      </c>
      <c r="I15" s="14">
        <v>10</v>
      </c>
      <c r="J15" s="14">
        <v>10</v>
      </c>
      <c r="K15" s="32" t="s">
        <v>231</v>
      </c>
    </row>
    <row r="16" spans="1:11" ht="13.5">
      <c r="A16">
        <f t="shared" si="2"/>
        <v>638.75</v>
      </c>
      <c r="B16">
        <f>C16*365</f>
        <v>912.5</v>
      </c>
      <c r="C16">
        <v>2.5</v>
      </c>
      <c r="D16" t="s">
        <v>259</v>
      </c>
      <c r="E16" s="1" t="str">
        <f t="shared" si="1"/>
        <v>|</v>
      </c>
      <c r="F16" s="31">
        <v>2</v>
      </c>
      <c r="G16" s="14" t="s">
        <v>235</v>
      </c>
      <c r="H16" s="14">
        <v>13</v>
      </c>
      <c r="I16" s="14">
        <v>10</v>
      </c>
      <c r="J16" s="14">
        <v>10</v>
      </c>
      <c r="K16" s="32" t="s">
        <v>231</v>
      </c>
    </row>
    <row r="17" spans="1:11" ht="13.5">
      <c r="A17">
        <f t="shared" si="2"/>
        <v>912.5</v>
      </c>
      <c r="B17">
        <f aca="true" t="shared" si="3" ref="B17:B26">C17*365</f>
        <v>1277.5</v>
      </c>
      <c r="C17">
        <v>3.5</v>
      </c>
      <c r="D17" t="s">
        <v>259</v>
      </c>
      <c r="E17" s="1" t="str">
        <f t="shared" si="1"/>
        <v>|</v>
      </c>
      <c r="F17" s="31">
        <v>3</v>
      </c>
      <c r="G17" s="14" t="s">
        <v>235</v>
      </c>
      <c r="H17" s="14">
        <v>13.5</v>
      </c>
      <c r="I17" s="14">
        <v>10</v>
      </c>
      <c r="J17" s="14">
        <v>10</v>
      </c>
      <c r="K17" s="32" t="s">
        <v>236</v>
      </c>
    </row>
    <row r="18" spans="1:11" ht="13.5">
      <c r="A18">
        <f t="shared" si="2"/>
        <v>1277.5</v>
      </c>
      <c r="B18">
        <f t="shared" si="3"/>
        <v>1642.5</v>
      </c>
      <c r="C18">
        <v>4.5</v>
      </c>
      <c r="D18" t="s">
        <v>259</v>
      </c>
      <c r="E18" s="1" t="str">
        <f t="shared" si="1"/>
        <v>|</v>
      </c>
      <c r="F18" s="31">
        <v>4</v>
      </c>
      <c r="G18" s="14" t="s">
        <v>237</v>
      </c>
      <c r="H18" s="14">
        <v>14</v>
      </c>
      <c r="I18" s="14">
        <v>10</v>
      </c>
      <c r="J18" s="14">
        <v>10</v>
      </c>
      <c r="K18" s="32" t="s">
        <v>236</v>
      </c>
    </row>
    <row r="19" spans="1:11" ht="13.5">
      <c r="A19">
        <f>B18</f>
        <v>1642.5</v>
      </c>
      <c r="B19">
        <f t="shared" si="3"/>
        <v>2007.5</v>
      </c>
      <c r="C19">
        <v>5.5</v>
      </c>
      <c r="D19" t="s">
        <v>259</v>
      </c>
      <c r="E19" s="1" t="str">
        <f t="shared" si="1"/>
        <v>|</v>
      </c>
      <c r="F19" s="31">
        <v>5</v>
      </c>
      <c r="G19" s="14" t="s">
        <v>238</v>
      </c>
      <c r="H19" s="14">
        <v>14.5</v>
      </c>
      <c r="I19" s="14">
        <v>12</v>
      </c>
      <c r="J19" s="14">
        <v>10</v>
      </c>
      <c r="K19" s="32" t="s">
        <v>236</v>
      </c>
    </row>
    <row r="20" spans="1:11" ht="13.5">
      <c r="A20">
        <f t="shared" si="2"/>
        <v>2007.5</v>
      </c>
      <c r="B20">
        <f t="shared" si="3"/>
        <v>2372.5</v>
      </c>
      <c r="C20">
        <v>6.5</v>
      </c>
      <c r="D20" t="s">
        <v>259</v>
      </c>
      <c r="E20" s="1" t="str">
        <f t="shared" si="1"/>
        <v>|</v>
      </c>
      <c r="F20" s="31">
        <v>6</v>
      </c>
      <c r="G20" s="14" t="s">
        <v>238</v>
      </c>
      <c r="H20" s="14">
        <v>15</v>
      </c>
      <c r="I20" s="14">
        <v>12</v>
      </c>
      <c r="J20" s="14">
        <v>10</v>
      </c>
      <c r="K20" s="32" t="s">
        <v>239</v>
      </c>
    </row>
    <row r="21" spans="1:11" ht="13.5">
      <c r="A21">
        <f t="shared" si="2"/>
        <v>2372.5</v>
      </c>
      <c r="B21">
        <f t="shared" si="3"/>
        <v>2737.5</v>
      </c>
      <c r="C21">
        <v>7.5</v>
      </c>
      <c r="D21" t="s">
        <v>259</v>
      </c>
      <c r="E21" s="1" t="str">
        <f t="shared" si="1"/>
        <v>|</v>
      </c>
      <c r="F21" s="31">
        <v>7</v>
      </c>
      <c r="G21" s="14" t="s">
        <v>238</v>
      </c>
      <c r="H21" s="14">
        <v>15.5</v>
      </c>
      <c r="I21" s="14">
        <v>12</v>
      </c>
      <c r="J21" s="14">
        <v>10</v>
      </c>
      <c r="K21" s="32" t="s">
        <v>239</v>
      </c>
    </row>
    <row r="22" spans="1:11" ht="13.5">
      <c r="A22">
        <f t="shared" si="2"/>
        <v>2737.5</v>
      </c>
      <c r="B22">
        <f t="shared" si="3"/>
        <v>3102.5</v>
      </c>
      <c r="C22">
        <v>8.5</v>
      </c>
      <c r="D22" t="s">
        <v>259</v>
      </c>
      <c r="E22" s="1" t="str">
        <f t="shared" si="1"/>
        <v>|</v>
      </c>
      <c r="F22" s="31">
        <v>8</v>
      </c>
      <c r="G22" s="14" t="s">
        <v>240</v>
      </c>
      <c r="H22" s="14">
        <v>16</v>
      </c>
      <c r="I22" s="14">
        <v>12</v>
      </c>
      <c r="J22" s="14">
        <v>10</v>
      </c>
      <c r="K22" s="32" t="s">
        <v>239</v>
      </c>
    </row>
    <row r="23" spans="1:11" ht="13.5">
      <c r="A23">
        <f t="shared" si="2"/>
        <v>3102.5</v>
      </c>
      <c r="B23">
        <f t="shared" si="3"/>
        <v>3467.5</v>
      </c>
      <c r="C23">
        <v>9.5</v>
      </c>
      <c r="D23" t="s">
        <v>259</v>
      </c>
      <c r="E23" s="1" t="str">
        <f t="shared" si="1"/>
        <v>|</v>
      </c>
      <c r="F23" s="31">
        <v>9</v>
      </c>
      <c r="G23" s="14" t="s">
        <v>240</v>
      </c>
      <c r="H23" s="14">
        <v>16.5</v>
      </c>
      <c r="I23" s="14">
        <v>14</v>
      </c>
      <c r="J23" s="14">
        <v>10</v>
      </c>
      <c r="K23" s="32" t="s">
        <v>239</v>
      </c>
    </row>
    <row r="24" spans="1:11" ht="13.5">
      <c r="A24">
        <f t="shared" si="2"/>
        <v>3467.5</v>
      </c>
      <c r="B24">
        <f t="shared" si="3"/>
        <v>3832.5</v>
      </c>
      <c r="C24">
        <v>10.5</v>
      </c>
      <c r="D24" t="s">
        <v>259</v>
      </c>
      <c r="E24" s="1" t="str">
        <f t="shared" si="1"/>
        <v>|</v>
      </c>
      <c r="F24" s="31">
        <v>10</v>
      </c>
      <c r="G24" s="14" t="s">
        <v>241</v>
      </c>
      <c r="H24" s="14">
        <v>17</v>
      </c>
      <c r="I24" s="14">
        <v>14</v>
      </c>
      <c r="J24" s="14">
        <v>10</v>
      </c>
      <c r="K24" s="32" t="s">
        <v>239</v>
      </c>
    </row>
    <row r="25" spans="1:11" ht="13.5">
      <c r="A25">
        <f t="shared" si="2"/>
        <v>3832.5</v>
      </c>
      <c r="B25">
        <f t="shared" si="3"/>
        <v>4197.5</v>
      </c>
      <c r="C25">
        <v>11.5</v>
      </c>
      <c r="D25" t="s">
        <v>259</v>
      </c>
      <c r="E25" s="1" t="str">
        <f t="shared" si="1"/>
        <v>|</v>
      </c>
      <c r="F25" s="31">
        <v>11</v>
      </c>
      <c r="G25" s="14" t="s">
        <v>241</v>
      </c>
      <c r="H25" s="14">
        <v>17.5</v>
      </c>
      <c r="I25" s="14">
        <v>14</v>
      </c>
      <c r="J25" s="14">
        <v>12</v>
      </c>
      <c r="K25" s="32" t="s">
        <v>242</v>
      </c>
    </row>
    <row r="26" spans="1:11" ht="13.5">
      <c r="A26">
        <f t="shared" si="2"/>
        <v>4197.5</v>
      </c>
      <c r="B26">
        <f t="shared" si="3"/>
        <v>4562.5</v>
      </c>
      <c r="C26">
        <v>12.5</v>
      </c>
      <c r="D26" t="s">
        <v>259</v>
      </c>
      <c r="E26" s="1" t="str">
        <f t="shared" si="1"/>
        <v>|</v>
      </c>
      <c r="F26" s="31">
        <v>12</v>
      </c>
      <c r="G26" s="14" t="s">
        <v>243</v>
      </c>
      <c r="H26" s="14">
        <v>18</v>
      </c>
      <c r="I26" s="14">
        <v>14</v>
      </c>
      <c r="J26" s="14">
        <v>12</v>
      </c>
      <c r="K26" s="32" t="s">
        <v>242</v>
      </c>
    </row>
    <row r="27" spans="1:11" ht="13.5">
      <c r="A27">
        <f t="shared" si="2"/>
        <v>4562.5</v>
      </c>
      <c r="B27">
        <f>C27*365</f>
        <v>4927.5</v>
      </c>
      <c r="C27">
        <v>13.5</v>
      </c>
      <c r="D27" t="s">
        <v>259</v>
      </c>
      <c r="E27" s="1" t="str">
        <f t="shared" si="1"/>
        <v>|</v>
      </c>
      <c r="F27" s="31">
        <v>13</v>
      </c>
      <c r="G27" s="14" t="s">
        <v>244</v>
      </c>
      <c r="H27" s="14">
        <v>21</v>
      </c>
      <c r="I27" s="14">
        <v>14</v>
      </c>
      <c r="J27" s="14" t="s">
        <v>245</v>
      </c>
      <c r="K27" s="32" t="s">
        <v>242</v>
      </c>
    </row>
    <row r="28" spans="1:11" ht="15" thickBot="1">
      <c r="A28">
        <f t="shared" si="2"/>
        <v>4927.5</v>
      </c>
      <c r="D28" t="s">
        <v>259</v>
      </c>
      <c r="E28" s="1" t="str">
        <f>IF(AND($B$1&gt;A28,NOT(C1=A1)),$E$2,$D$2)</f>
        <v>|</v>
      </c>
      <c r="F28" s="33">
        <v>14</v>
      </c>
      <c r="G28" s="34" t="s">
        <v>246</v>
      </c>
      <c r="H28" s="34">
        <v>21</v>
      </c>
      <c r="I28" s="34">
        <v>16</v>
      </c>
      <c r="J28" s="34" t="s">
        <v>245</v>
      </c>
      <c r="K28" s="35" t="s">
        <v>247</v>
      </c>
    </row>
    <row r="29" ht="6" customHeight="1"/>
    <row r="30" ht="13.5">
      <c r="G30" t="s">
        <v>266</v>
      </c>
    </row>
    <row r="31" spans="6:8" ht="17.25">
      <c r="F31" s="62"/>
      <c r="G31" s="251"/>
      <c r="H31" s="59"/>
    </row>
    <row r="32" spans="6:8" ht="17.25">
      <c r="F32" s="59"/>
      <c r="G32" s="41"/>
      <c r="H32" s="51" t="s">
        <v>298</v>
      </c>
    </row>
    <row r="33" spans="6:8" ht="17.25">
      <c r="F33" s="59"/>
      <c r="G33" s="59"/>
      <c r="H33" s="257" t="s">
        <v>201</v>
      </c>
    </row>
    <row r="34" spans="6:8" ht="17.25">
      <c r="F34" s="59"/>
      <c r="G34" s="59"/>
      <c r="H34" s="59"/>
    </row>
    <row r="35" spans="6:8" ht="17.25">
      <c r="F35" s="59"/>
      <c r="G35" s="59"/>
      <c r="H35" s="59"/>
    </row>
  </sheetData>
  <sheetProtection password="CC3D" sheet="1" objects="1" scenarios="1"/>
  <mergeCells count="4">
    <mergeCell ref="F4:K4"/>
    <mergeCell ref="F1:K1"/>
    <mergeCell ref="F2:K2"/>
    <mergeCell ref="F3:K3"/>
  </mergeCells>
  <conditionalFormatting sqref="F18:K18">
    <cfRule type="expression" priority="12" dxfId="2" stopIfTrue="1">
      <formula>($E$18=$E$2)</formula>
    </cfRule>
  </conditionalFormatting>
  <conditionalFormatting sqref="F7:K7">
    <cfRule type="expression" priority="22" dxfId="2" stopIfTrue="1">
      <formula>($E$7=$E$2)</formula>
    </cfRule>
  </conditionalFormatting>
  <conditionalFormatting sqref="F8:K8">
    <cfRule type="expression" priority="21" dxfId="2" stopIfTrue="1">
      <formula>($E$8=$E$2)</formula>
    </cfRule>
  </conditionalFormatting>
  <conditionalFormatting sqref="F9:K9">
    <cfRule type="expression" priority="20" dxfId="2" stopIfTrue="1">
      <formula>($E$9=$E$2)</formula>
    </cfRule>
  </conditionalFormatting>
  <conditionalFormatting sqref="F10:K10">
    <cfRule type="expression" priority="19" dxfId="2" stopIfTrue="1">
      <formula>($E$10=$E$2)</formula>
    </cfRule>
  </conditionalFormatting>
  <conditionalFormatting sqref="F11:K11">
    <cfRule type="expression" priority="18" dxfId="2" stopIfTrue="1">
      <formula>($E$11=$E$2)</formula>
    </cfRule>
  </conditionalFormatting>
  <conditionalFormatting sqref="F12:K12">
    <cfRule type="expression" priority="17" dxfId="2" stopIfTrue="1">
      <formula>($E$12=$E$2)</formula>
    </cfRule>
  </conditionalFormatting>
  <conditionalFormatting sqref="F13:K13">
    <cfRule type="expression" priority="16" dxfId="2" stopIfTrue="1">
      <formula>($E$13=$E$2)</formula>
    </cfRule>
  </conditionalFormatting>
  <conditionalFormatting sqref="F14:K14">
    <cfRule type="expression" priority="15" dxfId="2" stopIfTrue="1">
      <formula>($E$14=$E$2)</formula>
    </cfRule>
  </conditionalFormatting>
  <conditionalFormatting sqref="F15:K15">
    <cfRule type="expression" priority="14" dxfId="2" stopIfTrue="1">
      <formula>($E$15=$E$2)</formula>
    </cfRule>
  </conditionalFormatting>
  <conditionalFormatting sqref="F16:K16">
    <cfRule type="expression" priority="13" dxfId="2" stopIfTrue="1">
      <formula>($E$16=$E$2)</formula>
    </cfRule>
  </conditionalFormatting>
  <conditionalFormatting sqref="F17:K17">
    <cfRule type="expression" priority="11" dxfId="2" stopIfTrue="1">
      <formula>($E$17=$E$2)</formula>
    </cfRule>
  </conditionalFormatting>
  <conditionalFormatting sqref="F19:K19">
    <cfRule type="expression" priority="10" dxfId="2" stopIfTrue="1">
      <formula>($E$19=$E$2)</formula>
    </cfRule>
  </conditionalFormatting>
  <conditionalFormatting sqref="F20:K20">
    <cfRule type="expression" priority="9" dxfId="2" stopIfTrue="1">
      <formula>($E$20=$E$2)</formula>
    </cfRule>
  </conditionalFormatting>
  <conditionalFormatting sqref="F21:K21">
    <cfRule type="expression" priority="8" dxfId="2" stopIfTrue="1">
      <formula>($E$21=$E$2)</formula>
    </cfRule>
  </conditionalFormatting>
  <conditionalFormatting sqref="F22:K22">
    <cfRule type="expression" priority="7" dxfId="2" stopIfTrue="1">
      <formula>($E$22=$E$2)</formula>
    </cfRule>
  </conditionalFormatting>
  <conditionalFormatting sqref="F24:K24">
    <cfRule type="expression" priority="5" dxfId="2" stopIfTrue="1">
      <formula>($E$24=$E$2)</formula>
    </cfRule>
  </conditionalFormatting>
  <conditionalFormatting sqref="F25:K25">
    <cfRule type="expression" priority="4" dxfId="2" stopIfTrue="1">
      <formula>($E$25=$E$2)</formula>
    </cfRule>
  </conditionalFormatting>
  <conditionalFormatting sqref="F26:K26">
    <cfRule type="expression" priority="3" dxfId="2" stopIfTrue="1">
      <formula>($E$26=$E$2)</formula>
    </cfRule>
  </conditionalFormatting>
  <conditionalFormatting sqref="F27:K27">
    <cfRule type="expression" priority="2" dxfId="2" stopIfTrue="1">
      <formula>($E$27=$E$2)</formula>
    </cfRule>
  </conditionalFormatting>
  <conditionalFormatting sqref="F28:K28">
    <cfRule type="expression" priority="1" dxfId="2" stopIfTrue="1">
      <formula>($E$28=$E$2)</formula>
    </cfRule>
  </conditionalFormatting>
  <conditionalFormatting sqref="F23:K23">
    <cfRule type="expression" priority="6" dxfId="2" stopIfTrue="1">
      <formula>($E$23=$E$2)</formula>
    </cfRule>
  </conditionalFormatting>
  <hyperlinks>
    <hyperlink ref="N12" location="WETFLAG!A2" display="WETFLAG"/>
    <hyperlink ref="N8" location="'Drugs - Table'!A1" display="Drugs table"/>
    <hyperlink ref="N6" location="'START HERE'!F10" display="Start"/>
    <hyperlink ref="N10" location="'Drugs - Age'!A1" display="Drugs by age"/>
    <hyperlink ref="H33" r:id="rId1" display=" @EM3FOAMed"/>
  </hyperlinks>
  <printOptions horizontalCentered="1" verticalCentered="1"/>
  <pageMargins left="0.7" right="0.7" top="0.75" bottom="0.75" header="0.3" footer="0.3"/>
  <pageSetup fitToHeight="1" fitToWidth="1" horizontalDpi="600" verticalDpi="600" orientation="landscape" paperSize="9"/>
  <headerFooter alignWithMargins="0">
    <oddHeader>&amp;L&amp;D &amp;T&amp;R&amp;G</oddHeader>
    <oddFooter>&amp;L&amp;G Follow us on Twitter @EM3FOAMed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RowColHeaders="0" zoomScale="85" zoomScaleNormal="85" zoomScalePageLayoutView="0" workbookViewId="0" topLeftCell="A1">
      <selection activeCell="I2" sqref="I2"/>
    </sheetView>
  </sheetViews>
  <sheetFormatPr defaultColWidth="8.875" defaultRowHeight="17.25"/>
  <cols>
    <col min="1" max="1" width="11.625" style="0" customWidth="1"/>
    <col min="2" max="2" width="16.625" style="13" customWidth="1"/>
    <col min="3" max="3" width="25.125" style="0" customWidth="1"/>
    <col min="4" max="4" width="10.125" style="0" customWidth="1"/>
    <col min="5" max="5" width="20.125" style="0" customWidth="1"/>
    <col min="6" max="6" width="17.125" style="0" customWidth="1"/>
    <col min="7" max="7" width="1.4921875" style="0" customWidth="1"/>
    <col min="8" max="8" width="2.50390625" style="0" customWidth="1"/>
    <col min="9" max="9" width="11.125" style="0" customWidth="1"/>
    <col min="10" max="10" width="2.50390625" style="0" customWidth="1"/>
    <col min="11" max="11" width="12.50390625" style="0" bestFit="1" customWidth="1"/>
    <col min="12" max="12" width="2.50390625" style="0" customWidth="1"/>
    <col min="13" max="13" width="14.00390625" style="0" bestFit="1" customWidth="1"/>
    <col min="14" max="14" width="2.50390625" style="0" customWidth="1"/>
    <col min="15" max="15" width="11.625" style="0" bestFit="1" customWidth="1"/>
  </cols>
  <sheetData>
    <row r="1" spans="1:7" ht="15" thickBot="1">
      <c r="A1" s="5"/>
      <c r="B1" s="16"/>
      <c r="C1" s="6"/>
      <c r="D1" s="6"/>
      <c r="E1" s="6"/>
      <c r="F1" s="6"/>
      <c r="G1" s="7"/>
    </row>
    <row r="2" spans="1:15" ht="30" thickBot="1">
      <c r="A2" s="397" t="s">
        <v>189</v>
      </c>
      <c r="B2" s="398"/>
      <c r="C2" s="398"/>
      <c r="D2" s="398"/>
      <c r="E2" s="398"/>
      <c r="F2" s="398"/>
      <c r="G2" s="399"/>
      <c r="H2" s="15"/>
      <c r="I2" s="36" t="s">
        <v>248</v>
      </c>
      <c r="J2" s="173"/>
      <c r="K2" s="36" t="s">
        <v>320</v>
      </c>
      <c r="L2" s="173"/>
      <c r="M2" s="36" t="s">
        <v>319</v>
      </c>
      <c r="N2" s="173"/>
      <c r="O2" s="36" t="s">
        <v>195</v>
      </c>
    </row>
    <row r="3" spans="1:18" ht="28.5">
      <c r="A3" s="8"/>
      <c r="B3" s="58"/>
      <c r="C3" s="26">
        <f>'Drugs - Table'!E2</f>
      </c>
      <c r="D3" s="27">
        <f>'Drugs - Table'!F2</f>
      </c>
      <c r="F3" s="58"/>
      <c r="G3" s="17"/>
      <c r="H3" s="15"/>
      <c r="I3" s="227"/>
      <c r="J3" s="228"/>
      <c r="K3" s="228"/>
      <c r="L3" s="228"/>
      <c r="M3" s="228"/>
      <c r="N3" s="228"/>
      <c r="O3" s="228"/>
      <c r="P3" s="228"/>
      <c r="Q3" s="228"/>
      <c r="R3" s="228"/>
    </row>
    <row r="4" spans="1:18" ht="36.75" customHeight="1">
      <c r="A4" s="402" t="str">
        <f>"These doses are for guidance and all doses should still be 'sense checked'.  
A maximum weight of "&amp;'Drugs - Table'!C3&amp;"kg has been used. Please be aware of decimal points."</f>
        <v>These doses are for guidance and all doses should still be 'sense checked'.  
A maximum weight of 65kg has been used. Please be aware of decimal points.</v>
      </c>
      <c r="B4" s="403"/>
      <c r="C4" s="403"/>
      <c r="D4" s="403"/>
      <c r="E4" s="403"/>
      <c r="F4" s="403"/>
      <c r="G4" s="404"/>
      <c r="I4" s="228"/>
      <c r="J4" s="228"/>
      <c r="K4" s="228"/>
      <c r="L4" s="228"/>
      <c r="M4" s="228"/>
      <c r="N4" s="228"/>
      <c r="O4" s="228"/>
      <c r="P4" s="228"/>
      <c r="Q4" s="228"/>
      <c r="R4" s="228"/>
    </row>
    <row r="5" spans="1:18" ht="4.5" customHeight="1">
      <c r="A5" s="211"/>
      <c r="B5" s="212"/>
      <c r="C5" s="212"/>
      <c r="D5" s="212"/>
      <c r="E5" s="212"/>
      <c r="F5" s="212"/>
      <c r="G5" s="213"/>
      <c r="I5" s="228"/>
      <c r="J5" s="228"/>
      <c r="K5" s="228"/>
      <c r="L5" s="228"/>
      <c r="M5" s="228"/>
      <c r="N5" s="228"/>
      <c r="O5" s="228"/>
      <c r="P5" s="228"/>
      <c r="Q5" s="228"/>
      <c r="R5" s="228"/>
    </row>
    <row r="6" spans="1:18" ht="60" customHeight="1">
      <c r="A6" s="8"/>
      <c r="B6" s="20" t="str">
        <f>IF('Drugs - Table'!D4="Actual weight:","Actual weight","Weight")</f>
        <v>Weight</v>
      </c>
      <c r="C6" s="395" t="str">
        <f>IF('Drugs - Table'!F3=A1,I6,IF('Drugs - Table'!D4="Actual weight:","",IF('Drugs - Table'!C50&lt;=365.25,'Drugs - Table'!L2,IF('Drugs - Table'!C50&lt;=1826.25,'Drugs - Table'!L3,'Drugs - Table'!L4))))</f>
        <v>Under 12 months = (0.5 x age) +4
1-5 years = (2 x age) + 8
6-12 years = (3 x age) +7</v>
      </c>
      <c r="D6" s="395"/>
      <c r="E6" s="25">
        <f>('Drugs - Table'!F3)</f>
        <v>0</v>
      </c>
      <c r="F6" s="22" t="s">
        <v>25</v>
      </c>
      <c r="G6" s="9"/>
      <c r="I6" s="230" t="s">
        <v>196</v>
      </c>
      <c r="J6" s="231"/>
      <c r="K6" s="231"/>
      <c r="L6" s="231"/>
      <c r="M6" s="231"/>
      <c r="N6" s="405"/>
      <c r="O6" s="405"/>
      <c r="P6" s="232"/>
      <c r="Q6" s="228"/>
      <c r="R6" s="228"/>
    </row>
    <row r="7" spans="1:18" ht="14.25" customHeight="1">
      <c r="A7" s="8"/>
      <c r="B7" s="20"/>
      <c r="C7" s="23"/>
      <c r="D7" s="23"/>
      <c r="E7" s="24"/>
      <c r="F7" s="22"/>
      <c r="G7" s="9"/>
      <c r="I7" s="231"/>
      <c r="J7" s="231"/>
      <c r="K7" s="231"/>
      <c r="L7" s="231"/>
      <c r="M7" s="231"/>
      <c r="N7" s="405"/>
      <c r="O7" s="405"/>
      <c r="P7" s="232"/>
      <c r="Q7" s="228"/>
      <c r="R7" s="228"/>
    </row>
    <row r="8" spans="1:18" ht="24.75">
      <c r="A8" s="8"/>
      <c r="B8" s="20" t="s">
        <v>190</v>
      </c>
      <c r="C8" s="396" t="s">
        <v>202</v>
      </c>
      <c r="D8" s="396"/>
      <c r="E8" s="25">
        <f>'Drugs - Table'!H19</f>
      </c>
      <c r="F8" s="22" t="s">
        <v>69</v>
      </c>
      <c r="G8" s="9"/>
      <c r="I8" s="231"/>
      <c r="J8" s="231"/>
      <c r="K8" s="231"/>
      <c r="L8" s="231"/>
      <c r="M8" s="231"/>
      <c r="N8" s="405"/>
      <c r="O8" s="405"/>
      <c r="P8" s="232"/>
      <c r="Q8" s="228"/>
      <c r="R8" s="228"/>
    </row>
    <row r="9" spans="1:18" ht="14.25" customHeight="1">
      <c r="A9" s="8"/>
      <c r="B9" s="20"/>
      <c r="C9" s="19"/>
      <c r="D9" s="19"/>
      <c r="E9" s="24"/>
      <c r="F9" s="22"/>
      <c r="G9" s="9"/>
      <c r="I9" s="227"/>
      <c r="J9" s="228"/>
      <c r="K9" s="228"/>
      <c r="L9" s="228"/>
      <c r="M9" s="228"/>
      <c r="N9" s="228"/>
      <c r="O9" s="228"/>
      <c r="P9" s="228"/>
      <c r="Q9" s="228"/>
      <c r="R9" s="228"/>
    </row>
    <row r="10" spans="1:18" ht="33.75">
      <c r="A10" s="8"/>
      <c r="B10" s="20" t="s">
        <v>191</v>
      </c>
      <c r="C10" s="396" t="s">
        <v>205</v>
      </c>
      <c r="D10" s="396"/>
      <c r="E10" s="21" t="e">
        <f>(INT(('Drugs - Table'!C51/4+4)*2))/2</f>
        <v>#VALUE!</v>
      </c>
      <c r="F10" s="29" t="s">
        <v>263</v>
      </c>
      <c r="G10" s="9"/>
      <c r="I10" s="228"/>
      <c r="J10" s="228"/>
      <c r="K10" s="228"/>
      <c r="L10" s="228"/>
      <c r="M10" s="228"/>
      <c r="N10" s="228"/>
      <c r="O10" s="228"/>
      <c r="P10" s="228"/>
      <c r="Q10" s="228"/>
      <c r="R10" s="228"/>
    </row>
    <row r="11" spans="1:18" ht="33.75">
      <c r="A11" s="8"/>
      <c r="B11" s="20"/>
      <c r="C11" s="396" t="s">
        <v>204</v>
      </c>
      <c r="D11" s="396"/>
      <c r="E11" s="21" t="e">
        <f>'Drugs - Table'!C51/2+12</f>
        <v>#VALUE!</v>
      </c>
      <c r="F11" s="29" t="s">
        <v>264</v>
      </c>
      <c r="G11" s="9"/>
      <c r="I11" s="227"/>
      <c r="J11" s="228"/>
      <c r="K11" s="228"/>
      <c r="L11" s="228"/>
      <c r="M11" s="228"/>
      <c r="N11" s="228"/>
      <c r="O11" s="228"/>
      <c r="P11" s="228"/>
      <c r="Q11" s="228"/>
      <c r="R11" s="228"/>
    </row>
    <row r="12" spans="1:18" ht="33.75">
      <c r="A12" s="8"/>
      <c r="B12" s="20"/>
      <c r="C12" s="396" t="s">
        <v>203</v>
      </c>
      <c r="D12" s="396"/>
      <c r="E12" s="21" t="e">
        <f>'Drugs - Table'!C51/2+15</f>
        <v>#VALUE!</v>
      </c>
      <c r="F12" s="29" t="s">
        <v>214</v>
      </c>
      <c r="G12" s="9"/>
      <c r="I12" s="229"/>
      <c r="J12" s="228"/>
      <c r="K12" s="228"/>
      <c r="L12" s="228"/>
      <c r="M12" s="228"/>
      <c r="N12" s="228"/>
      <c r="O12" s="228"/>
      <c r="P12" s="228"/>
      <c r="Q12" s="228"/>
      <c r="R12" s="228"/>
    </row>
    <row r="13" spans="1:18" ht="14.25" customHeight="1">
      <c r="A13" s="8"/>
      <c r="B13" s="20"/>
      <c r="C13" s="19"/>
      <c r="D13" s="19"/>
      <c r="E13" s="24"/>
      <c r="F13" s="22"/>
      <c r="G13" s="9"/>
      <c r="I13" s="228"/>
      <c r="J13" s="228"/>
      <c r="K13" s="228"/>
      <c r="L13" s="228"/>
      <c r="M13" s="228"/>
      <c r="N13" s="228"/>
      <c r="O13" s="228"/>
      <c r="P13" s="228"/>
      <c r="Q13" s="228"/>
      <c r="R13" s="228"/>
    </row>
    <row r="14" spans="1:18" ht="38.25" customHeight="1">
      <c r="A14" s="8"/>
      <c r="B14" s="20" t="s">
        <v>192</v>
      </c>
      <c r="C14" s="395" t="s">
        <v>211</v>
      </c>
      <c r="D14" s="395"/>
      <c r="E14" s="28" t="str">
        <f>'Drugs - Table'!H18&amp;" - "&amp;'Drugs - Table'!J18</f>
        <v> - </v>
      </c>
      <c r="F14" s="22" t="s">
        <v>209</v>
      </c>
      <c r="G14" s="9"/>
      <c r="I14" s="228"/>
      <c r="J14" s="228"/>
      <c r="K14" s="228"/>
      <c r="L14" s="228"/>
      <c r="M14" s="228"/>
      <c r="N14" s="228"/>
      <c r="O14" s="228"/>
      <c r="P14" s="228"/>
      <c r="Q14" s="228"/>
      <c r="R14" s="228"/>
    </row>
    <row r="15" spans="1:18" ht="14.25" customHeight="1">
      <c r="A15" s="8"/>
      <c r="B15" s="20"/>
      <c r="C15" s="19"/>
      <c r="D15" s="19"/>
      <c r="E15" s="24"/>
      <c r="F15" s="22"/>
      <c r="G15" s="9"/>
      <c r="I15" s="228"/>
      <c r="J15" s="228"/>
      <c r="K15" s="228"/>
      <c r="L15" s="228"/>
      <c r="M15" s="228"/>
      <c r="N15" s="228"/>
      <c r="O15" s="228"/>
      <c r="P15" s="228"/>
      <c r="Q15" s="228"/>
      <c r="R15" s="228"/>
    </row>
    <row r="16" spans="1:18" ht="24.75">
      <c r="A16" s="8"/>
      <c r="B16" s="20" t="s">
        <v>8</v>
      </c>
      <c r="C16" s="396" t="s">
        <v>10</v>
      </c>
      <c r="D16" s="396"/>
      <c r="E16" s="21">
        <f>IF((E6*0.1)&gt;4,4,E6*0.1)</f>
        <v>0</v>
      </c>
      <c r="F16" s="22" t="s">
        <v>210</v>
      </c>
      <c r="G16" s="9"/>
      <c r="I16" s="228"/>
      <c r="J16" s="228"/>
      <c r="K16" s="228"/>
      <c r="L16" s="228"/>
      <c r="M16" s="228"/>
      <c r="N16" s="228"/>
      <c r="O16" s="228"/>
      <c r="P16" s="228"/>
      <c r="Q16" s="228"/>
      <c r="R16" s="228"/>
    </row>
    <row r="17" spans="1:18" ht="14.25" customHeight="1">
      <c r="A17" s="8"/>
      <c r="B17" s="20"/>
      <c r="C17" s="19"/>
      <c r="D17" s="19"/>
      <c r="E17" s="24"/>
      <c r="F17" s="22"/>
      <c r="G17" s="9"/>
      <c r="I17" s="228"/>
      <c r="J17" s="228"/>
      <c r="K17" s="228"/>
      <c r="L17" s="228"/>
      <c r="M17" s="228"/>
      <c r="N17" s="228"/>
      <c r="O17" s="228"/>
      <c r="P17" s="228"/>
      <c r="Q17" s="228"/>
      <c r="R17" s="228"/>
    </row>
    <row r="18" spans="1:18" ht="38.25" customHeight="1">
      <c r="A18" s="8"/>
      <c r="B18" s="20" t="s">
        <v>28</v>
      </c>
      <c r="C18" s="395" t="s">
        <v>212</v>
      </c>
      <c r="D18" s="395"/>
      <c r="E18" s="21">
        <f>'Drugs - Table'!H9</f>
      </c>
      <c r="F18" s="22" t="s">
        <v>209</v>
      </c>
      <c r="G18" s="9"/>
      <c r="I18" s="228"/>
      <c r="J18" s="228"/>
      <c r="K18" s="228"/>
      <c r="L18" s="228"/>
      <c r="M18" s="228"/>
      <c r="N18" s="228"/>
      <c r="O18" s="228"/>
      <c r="P18" s="228"/>
      <c r="Q18" s="228"/>
      <c r="R18" s="228"/>
    </row>
    <row r="19" spans="1:7" ht="14.25" customHeight="1">
      <c r="A19" s="8"/>
      <c r="B19" s="20"/>
      <c r="C19" s="19"/>
      <c r="D19" s="19"/>
      <c r="E19" s="24"/>
      <c r="F19" s="22"/>
      <c r="G19" s="9"/>
    </row>
    <row r="20" spans="1:7" ht="38.25" customHeight="1">
      <c r="A20" s="8"/>
      <c r="B20" s="20" t="s">
        <v>193</v>
      </c>
      <c r="C20" s="395" t="s">
        <v>213</v>
      </c>
      <c r="D20" s="395"/>
      <c r="E20" s="24" t="str">
        <f>'Drugs - Table'!H13&amp;" - "&amp;'Drugs - Table'!J13</f>
        <v> - </v>
      </c>
      <c r="F20" s="22" t="s">
        <v>209</v>
      </c>
      <c r="G20" s="9"/>
    </row>
    <row r="21" spans="1:7" ht="15" thickBot="1">
      <c r="A21" s="10"/>
      <c r="B21" s="11"/>
      <c r="C21" s="18"/>
      <c r="D21" s="18"/>
      <c r="E21" s="11"/>
      <c r="F21" s="11"/>
      <c r="G21" s="12"/>
    </row>
    <row r="23" ht="17.25">
      <c r="D23" s="51"/>
    </row>
    <row r="24" spans="1:4" ht="54" customHeight="1" hidden="1">
      <c r="A24" s="394" t="s">
        <v>265</v>
      </c>
      <c r="B24" s="394"/>
      <c r="C24" s="394"/>
      <c r="D24" s="257" t="s">
        <v>201</v>
      </c>
    </row>
    <row r="25" spans="1:4" ht="19.5">
      <c r="A25" s="400"/>
      <c r="B25" s="401"/>
      <c r="D25" s="260" t="s">
        <v>298</v>
      </c>
    </row>
    <row r="26" spans="1:4" ht="19.5">
      <c r="A26" s="393"/>
      <c r="B26" s="393"/>
      <c r="D26" s="261" t="s">
        <v>201</v>
      </c>
    </row>
    <row r="27" ht="17.25"/>
  </sheetData>
  <sheetProtection password="CC3D" sheet="1" objects="1" scenarios="1"/>
  <mergeCells count="17">
    <mergeCell ref="A2:G2"/>
    <mergeCell ref="A25:B25"/>
    <mergeCell ref="A4:G4"/>
    <mergeCell ref="N6:O6"/>
    <mergeCell ref="N7:O7"/>
    <mergeCell ref="N8:O8"/>
    <mergeCell ref="C14:D14"/>
    <mergeCell ref="C16:D16"/>
    <mergeCell ref="C18:D18"/>
    <mergeCell ref="C20:D20"/>
    <mergeCell ref="A26:B26"/>
    <mergeCell ref="A24:C24"/>
    <mergeCell ref="C6:D6"/>
    <mergeCell ref="C8:D8"/>
    <mergeCell ref="C10:D10"/>
    <mergeCell ref="C11:D11"/>
    <mergeCell ref="C12:D12"/>
  </mergeCells>
  <conditionalFormatting sqref="B6">
    <cfRule type="cellIs" priority="3" dxfId="1" operator="equal" stopIfTrue="1">
      <formula>"Actual weight"</formula>
    </cfRule>
  </conditionalFormatting>
  <conditionalFormatting sqref="E6:E20">
    <cfRule type="expression" priority="4" dxfId="0" stopIfTrue="1">
      <formula>($E$6=A1)</formula>
    </cfRule>
  </conditionalFormatting>
  <hyperlinks>
    <hyperlink ref="O2" location="Equipment!A1" display="Equipment"/>
    <hyperlink ref="K2" location="'Drugs - Table'!A1" display="Drugs table"/>
    <hyperlink ref="I2" location="'START HERE'!F10" display="Start"/>
    <hyperlink ref="M2" location="'Drugs - Age'!A1" display="Drugs by age"/>
    <hyperlink ref="D24" r:id="rId1" display=" @EM3FOAMed"/>
    <hyperlink ref="D26" r:id="rId2" display=" @EM3FOAMed"/>
  </hyperlinks>
  <printOptions horizontalCentered="1"/>
  <pageMargins left="0.7" right="0.7" top="1.15" bottom="0.75" header="0.3" footer="0.3"/>
  <pageSetup fitToHeight="1" fitToWidth="1" horizontalDpi="600" verticalDpi="600" orientation="portrait" paperSize="9" scale="87"/>
  <headerFooter alignWithMargins="0">
    <oddHeader>&amp;L&amp;D &amp;T&amp;R&amp;G</oddHeader>
    <oddFooter>&amp;L&amp;G Follow us on Twitter: @EM3FOAMed</oddFooter>
  </headerFooter>
  <ignoredErrors>
    <ignoredError sqref="E10:E12" evalError="1"/>
  </ignoredErrors>
  <drawing r:id="rId3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B7"/>
  <sheetViews>
    <sheetView zoomScalePageLayoutView="0" workbookViewId="0" topLeftCell="A1">
      <selection activeCell="A1" sqref="A1"/>
    </sheetView>
  </sheetViews>
  <sheetFormatPr defaultColWidth="8.875" defaultRowHeight="17.25"/>
  <sheetData>
    <row r="1" spans="1:2" ht="16.5" customHeight="1">
      <c r="A1" s="175" t="s">
        <v>147</v>
      </c>
      <c r="B1" s="237" t="s">
        <v>11</v>
      </c>
    </row>
    <row r="2" ht="13.5">
      <c r="A2" t="s">
        <v>321</v>
      </c>
    </row>
    <row r="3" ht="13.5">
      <c r="A3" t="s">
        <v>339</v>
      </c>
    </row>
    <row r="4" ht="13.5">
      <c r="A4" t="s">
        <v>324</v>
      </c>
    </row>
    <row r="5" ht="13.5">
      <c r="A5" t="s">
        <v>322</v>
      </c>
    </row>
    <row r="6" ht="13.5">
      <c r="A6" t="s">
        <v>323</v>
      </c>
    </row>
    <row r="7" ht="13.5">
      <c r="A7" t="s">
        <v>325</v>
      </c>
    </row>
  </sheetData>
  <sheetProtection password="CC3D" sheet="1"/>
  <printOptions/>
  <pageMargins left="0.7" right="0.7" top="0.75" bottom="0.75" header="0.3" footer="0.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Corry</dc:creator>
  <cp:keywords/>
  <dc:description/>
  <cp:lastModifiedBy>Damian Roland</cp:lastModifiedBy>
  <cp:lastPrinted>2014-08-19T13:56:20Z</cp:lastPrinted>
  <dcterms:created xsi:type="dcterms:W3CDTF">2014-05-22T14:55:24Z</dcterms:created>
  <dcterms:modified xsi:type="dcterms:W3CDTF">2014-08-27T18:37:02Z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